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481"/>
  </bookViews>
  <sheets>
    <sheet name="Sheet1" sheetId="1" r:id="rId1"/>
  </sheets>
  <definedNames>
    <definedName name="solver_adj" localSheetId="0" hidden="1">Sheet1!$Y$5:$Y$24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Sheet1!$AA$27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5760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P6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5" i="1"/>
  <c r="L7" i="1" l="1"/>
  <c r="AE24" i="1" l="1"/>
  <c r="AB23" i="1"/>
  <c r="AB22" i="1" s="1"/>
  <c r="AB21" i="1" s="1"/>
  <c r="AB20" i="1" s="1"/>
  <c r="AB19" i="1" s="1"/>
  <c r="AB18" i="1" s="1"/>
  <c r="AB17" i="1" s="1"/>
  <c r="AB16" i="1" s="1"/>
  <c r="AB15" i="1" s="1"/>
  <c r="AB14" i="1" s="1"/>
  <c r="AB13" i="1" s="1"/>
  <c r="AB12" i="1" s="1"/>
  <c r="AB11" i="1" s="1"/>
  <c r="AB10" i="1" s="1"/>
  <c r="AB9" i="1" s="1"/>
  <c r="AB8" i="1" s="1"/>
  <c r="AB7" i="1" s="1"/>
  <c r="AB6" i="1" s="1"/>
  <c r="AB5" i="1" s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5" i="1"/>
  <c r="AA25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T21" i="1" s="1"/>
  <c r="R21" i="1" s="1"/>
  <c r="U22" i="1"/>
  <c r="T22" i="1" s="1"/>
  <c r="R22" i="1" s="1"/>
  <c r="U23" i="1"/>
  <c r="T23" i="1" s="1"/>
  <c r="R23" i="1" s="1"/>
  <c r="U24" i="1"/>
  <c r="T24" i="1" s="1"/>
  <c r="R24" i="1" s="1"/>
  <c r="U5" i="1"/>
  <c r="Y27" i="1"/>
  <c r="AB27" i="1"/>
  <c r="AC24" i="1"/>
  <c r="C20" i="1" l="1"/>
  <c r="L12" i="1"/>
  <c r="G31" i="1" l="1"/>
  <c r="I31" i="1"/>
  <c r="L5" i="1"/>
  <c r="H28" i="1"/>
  <c r="I28" i="1" s="1"/>
  <c r="P9" i="1" l="1"/>
  <c r="H36" i="1" s="1"/>
  <c r="J31" i="1"/>
  <c r="K31" i="1" s="1"/>
  <c r="J28" i="1"/>
  <c r="K28" i="1" s="1"/>
  <c r="L13" i="1"/>
  <c r="I36" i="1" l="1"/>
  <c r="J36" i="1"/>
  <c r="M31" i="1"/>
  <c r="L31" i="1"/>
  <c r="L28" i="1"/>
  <c r="M28" i="1"/>
  <c r="G29" i="1" s="1"/>
  <c r="K36" i="1" l="1"/>
  <c r="L36" i="1" s="1"/>
  <c r="H29" i="1"/>
  <c r="I29" i="1" s="1"/>
  <c r="M36" i="1" l="1"/>
  <c r="G37" i="1" s="1"/>
  <c r="H37" i="1" s="1"/>
  <c r="I37" i="1" s="1"/>
  <c r="J29" i="1"/>
  <c r="K29" i="1" s="1"/>
  <c r="J37" i="1" l="1"/>
  <c r="K37" i="1" s="1"/>
  <c r="T8" i="1"/>
  <c r="R8" i="1" s="1"/>
  <c r="T7" i="1"/>
  <c r="R7" i="1" s="1"/>
  <c r="T9" i="1"/>
  <c r="R9" i="1" s="1"/>
  <c r="T11" i="1"/>
  <c r="R11" i="1" s="1"/>
  <c r="T13" i="1"/>
  <c r="R13" i="1" s="1"/>
  <c r="T15" i="1"/>
  <c r="R15" i="1" s="1"/>
  <c r="T17" i="1"/>
  <c r="R17" i="1" s="1"/>
  <c r="T5" i="1"/>
  <c r="R5" i="1" s="1"/>
  <c r="T6" i="1"/>
  <c r="R6" i="1" s="1"/>
  <c r="T10" i="1"/>
  <c r="R10" i="1" s="1"/>
  <c r="T12" i="1"/>
  <c r="R12" i="1" s="1"/>
  <c r="T14" i="1"/>
  <c r="R14" i="1" s="1"/>
  <c r="T16" i="1"/>
  <c r="R16" i="1" s="1"/>
  <c r="T18" i="1"/>
  <c r="R18" i="1" s="1"/>
  <c r="R1" i="1"/>
  <c r="M29" i="1"/>
  <c r="L29" i="1"/>
  <c r="S5" i="1" l="1"/>
  <c r="S23" i="1"/>
  <c r="V23" i="1" s="1"/>
  <c r="S22" i="1"/>
  <c r="V22" i="1" s="1"/>
  <c r="S24" i="1"/>
  <c r="V24" i="1" s="1"/>
  <c r="S21" i="1"/>
  <c r="V21" i="1" s="1"/>
  <c r="L37" i="1"/>
  <c r="M37" i="1"/>
  <c r="G39" i="1" s="1"/>
  <c r="T19" i="1"/>
  <c r="R19" i="1" s="1"/>
  <c r="S19" i="1" s="1"/>
  <c r="V19" i="1" s="1"/>
  <c r="V5" i="1"/>
  <c r="S8" i="1"/>
  <c r="V8" i="1" s="1"/>
  <c r="S12" i="1"/>
  <c r="V12" i="1" s="1"/>
  <c r="S16" i="1"/>
  <c r="V16" i="1" s="1"/>
  <c r="S7" i="1"/>
  <c r="V7" i="1" s="1"/>
  <c r="S11" i="1"/>
  <c r="V11" i="1" s="1"/>
  <c r="S15" i="1"/>
  <c r="V15" i="1" s="1"/>
  <c r="S6" i="1"/>
  <c r="V6" i="1" s="1"/>
  <c r="S10" i="1"/>
  <c r="V10" i="1" s="1"/>
  <c r="S14" i="1"/>
  <c r="V14" i="1" s="1"/>
  <c r="S18" i="1"/>
  <c r="V18" i="1" s="1"/>
  <c r="S9" i="1"/>
  <c r="V9" i="1" s="1"/>
  <c r="S13" i="1"/>
  <c r="V13" i="1" s="1"/>
  <c r="S17" i="1"/>
  <c r="V17" i="1" s="1"/>
  <c r="H39" i="1" l="1"/>
  <c r="I39" i="1" s="1"/>
  <c r="J39" i="1"/>
  <c r="K39" i="1" s="1"/>
  <c r="L39" i="1"/>
  <c r="T20" i="1"/>
  <c r="R20" i="1" s="1"/>
  <c r="S20" i="1" s="1"/>
  <c r="V20" i="1" s="1"/>
  <c r="P12" i="1" l="1"/>
  <c r="M39" i="1"/>
  <c r="Z5" i="1" l="1"/>
  <c r="Z7" i="1"/>
  <c r="Z9" i="1"/>
  <c r="Z11" i="1"/>
  <c r="Z13" i="1"/>
  <c r="Z15" i="1"/>
  <c r="Z17" i="1"/>
  <c r="Z19" i="1"/>
  <c r="Z21" i="1"/>
  <c r="Z23" i="1"/>
  <c r="Z6" i="1"/>
  <c r="Z8" i="1"/>
  <c r="Z10" i="1"/>
  <c r="Z12" i="1"/>
  <c r="Z14" i="1"/>
  <c r="Z16" i="1"/>
  <c r="Z18" i="1"/>
  <c r="Z20" i="1"/>
  <c r="Z22" i="1"/>
  <c r="Z24" i="1"/>
  <c r="Q6" i="1"/>
  <c r="AC23" i="1"/>
  <c r="AC22" i="1" s="1"/>
  <c r="AC21" i="1" s="1"/>
  <c r="AC20" i="1" s="1"/>
  <c r="AC19" i="1" s="1"/>
  <c r="AC18" i="1" s="1"/>
  <c r="AC17" i="1" s="1"/>
  <c r="AC16" i="1" s="1"/>
  <c r="AC15" i="1" s="1"/>
  <c r="AC14" i="1" s="1"/>
  <c r="AC13" i="1" s="1"/>
  <c r="AC12" i="1" s="1"/>
  <c r="AC11" i="1" s="1"/>
  <c r="AC10" i="1" s="1"/>
  <c r="AC9" i="1" s="1"/>
  <c r="AC8" i="1" s="1"/>
  <c r="AC7" i="1" s="1"/>
  <c r="AC6" i="1" l="1"/>
  <c r="AA27" i="1"/>
  <c r="AC5" i="1" l="1"/>
</calcChain>
</file>

<file path=xl/sharedStrings.xml><?xml version="1.0" encoding="utf-8"?>
<sst xmlns="http://schemas.openxmlformats.org/spreadsheetml/2006/main" count="68" uniqueCount="50">
  <si>
    <t>Tanque A</t>
  </si>
  <si>
    <t>Tanque B</t>
  </si>
  <si>
    <t>Cota máx.</t>
  </si>
  <si>
    <t>Cota min.</t>
  </si>
  <si>
    <t>A-B</t>
  </si>
  <si>
    <t>Cota sup.</t>
  </si>
  <si>
    <t>l/s</t>
  </si>
  <si>
    <t>t (h)</t>
  </si>
  <si>
    <t>Re</t>
  </si>
  <si>
    <t>AH</t>
  </si>
  <si>
    <t>Cota cte</t>
  </si>
  <si>
    <t>D</t>
  </si>
  <si>
    <t>Qmed</t>
  </si>
  <si>
    <t>t llenado</t>
  </si>
  <si>
    <t>v</t>
  </si>
  <si>
    <t>k/D</t>
  </si>
  <si>
    <t>f</t>
  </si>
  <si>
    <t>Diámetro comercial seleccionado 0,35m</t>
  </si>
  <si>
    <t>V final</t>
  </si>
  <si>
    <t>z</t>
  </si>
  <si>
    <t>p/y</t>
  </si>
  <si>
    <t>v2/2g</t>
  </si>
  <si>
    <t>AH(m)</t>
  </si>
  <si>
    <t>Caudal de diseño (m3/s)</t>
  </si>
  <si>
    <t>Longitud de la tuberia (m)</t>
  </si>
  <si>
    <t>Q</t>
  </si>
  <si>
    <t>H</t>
  </si>
  <si>
    <t>V</t>
  </si>
  <si>
    <t>Z</t>
  </si>
  <si>
    <t>T</t>
  </si>
  <si>
    <t>seg</t>
  </si>
  <si>
    <t>m</t>
  </si>
  <si>
    <t>m/s</t>
  </si>
  <si>
    <t>CURVA RESISTENTE</t>
  </si>
  <si>
    <t>-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</si>
  <si>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/s</t>
    </r>
  </si>
  <si>
    <t>m.c.a.</t>
  </si>
  <si>
    <t>CURVA FUNCIONAMIENTO DE LA BOMBA Y LLENADO DEL EMBALSE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</si>
  <si>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</si>
  <si>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TUBERIA BOMBEO</t>
  </si>
  <si>
    <t>TUBERIA DESCARGA</t>
  </si>
  <si>
    <t>ESQUEMA PLANTEAMIENTO</t>
  </si>
  <si>
    <t>Pérdidas Cont.</t>
  </si>
  <si>
    <t>Vol./dia (m3)</t>
  </si>
  <si>
    <t>Diámetro (m)</t>
  </si>
  <si>
    <t>Área (m)</t>
  </si>
  <si>
    <t>Hb</t>
  </si>
  <si>
    <t>Vol</t>
  </si>
  <si>
    <t>ITERACIÓN COLEBROOK</t>
  </si>
  <si>
    <t>PTO FUNCIONAMIENTO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</si>
</sst>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/>
    <xf numFmtId="164" fontId="0" fillId="0" borderId="0" xfId="0" applyNumberFormat="1" applyFill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2" fontId="0" fillId="0" borderId="0" xfId="0" applyNumberFormat="1"/>
    <xf numFmtId="166" fontId="1" fillId="2" borderId="0" xfId="0" applyNumberFormat="1" applyFont="1" applyFill="1" applyBorder="1" applyAlignment="1">
      <alignment horizontal="left"/>
    </xf>
    <xf numFmtId="2" fontId="0" fillId="0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166" fontId="0" fillId="4" borderId="4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" fontId="0" fillId="0" borderId="5" xfId="0" applyNumberFormat="1" applyFill="1" applyBorder="1"/>
    <xf numFmtId="2" fontId="0" fillId="0" borderId="5" xfId="0" applyNumberFormat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1" fontId="0" fillId="0" borderId="0" xfId="0" applyNumberFormat="1" applyFill="1" applyBorder="1"/>
    <xf numFmtId="164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4" fontId="0" fillId="0" borderId="0" xfId="0" applyNumberFormat="1" applyFill="1" applyBorder="1"/>
    <xf numFmtId="1" fontId="0" fillId="0" borderId="6" xfId="0" applyNumberFormat="1" applyFill="1" applyBorder="1"/>
    <xf numFmtId="164" fontId="0" fillId="0" borderId="6" xfId="0" applyNumberFormat="1" applyBorder="1"/>
    <xf numFmtId="2" fontId="0" fillId="0" borderId="6" xfId="0" applyNumberFormat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5" borderId="6" xfId="0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2" borderId="0" xfId="0" applyFont="1" applyFill="1" applyBorder="1"/>
    <xf numFmtId="164" fontId="0" fillId="2" borderId="0" xfId="0" applyNumberFormat="1" applyFont="1" applyFill="1" applyBorder="1" applyAlignment="1">
      <alignment horizontal="center"/>
    </xf>
    <xf numFmtId="166" fontId="0" fillId="2" borderId="0" xfId="0" applyNumberFormat="1" applyFont="1" applyFill="1" applyBorder="1" applyAlignment="1">
      <alignment horizontal="left"/>
    </xf>
    <xf numFmtId="1" fontId="0" fillId="2" borderId="0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6" fontId="1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0" fillId="5" borderId="0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0" fontId="0" fillId="6" borderId="2" xfId="0" applyFill="1" applyBorder="1"/>
    <xf numFmtId="2" fontId="0" fillId="6" borderId="3" xfId="0" applyNumberFormat="1" applyFill="1" applyBorder="1"/>
    <xf numFmtId="0" fontId="0" fillId="7" borderId="0" xfId="0" applyFill="1"/>
    <xf numFmtId="0" fontId="0" fillId="7" borderId="5" xfId="0" applyFill="1" applyBorder="1" applyAlignment="1">
      <alignment horizontal="center"/>
    </xf>
    <xf numFmtId="0" fontId="0" fillId="7" borderId="8" xfId="0" applyFill="1" applyBorder="1"/>
    <xf numFmtId="0" fontId="0" fillId="7" borderId="9" xfId="0" applyFill="1" applyBorder="1"/>
    <xf numFmtId="0" fontId="0" fillId="7" borderId="10" xfId="0" applyFill="1" applyBorder="1"/>
    <xf numFmtId="0" fontId="0" fillId="7" borderId="0" xfId="0" applyFill="1" applyBorder="1"/>
    <xf numFmtId="0" fontId="0" fillId="7" borderId="11" xfId="0" applyFill="1" applyBorder="1"/>
    <xf numFmtId="0" fontId="0" fillId="7" borderId="0" xfId="0" applyFill="1" applyBorder="1" applyAlignment="1">
      <alignment horizontal="right"/>
    </xf>
    <xf numFmtId="2" fontId="0" fillId="7" borderId="0" xfId="0" applyNumberFormat="1" applyFill="1" applyBorder="1"/>
    <xf numFmtId="0" fontId="0" fillId="7" borderId="12" xfId="0" applyFill="1" applyBorder="1"/>
    <xf numFmtId="0" fontId="0" fillId="7" borderId="13" xfId="0" applyFill="1" applyBorder="1"/>
    <xf numFmtId="0" fontId="0" fillId="7" borderId="14" xfId="0" applyFill="1" applyBorder="1"/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left"/>
    </xf>
    <xf numFmtId="0" fontId="0" fillId="7" borderId="17" xfId="0" applyFill="1" applyBorder="1" applyAlignment="1">
      <alignment horizontal="right"/>
    </xf>
    <xf numFmtId="2" fontId="0" fillId="7" borderId="20" xfId="0" applyNumberFormat="1" applyFill="1" applyBorder="1" applyAlignment="1">
      <alignment horizontal="left"/>
    </xf>
    <xf numFmtId="0" fontId="0" fillId="7" borderId="11" xfId="0" applyFill="1" applyBorder="1" applyAlignment="1">
      <alignment horizontal="center"/>
    </xf>
    <xf numFmtId="0" fontId="0" fillId="7" borderId="19" xfId="0" applyFill="1" applyBorder="1"/>
    <xf numFmtId="0" fontId="0" fillId="7" borderId="20" xfId="0" applyFill="1" applyBorder="1"/>
    <xf numFmtId="0" fontId="0" fillId="7" borderId="15" xfId="0" applyFill="1" applyBorder="1" applyAlignment="1">
      <alignment horizontal="right"/>
    </xf>
    <xf numFmtId="2" fontId="0" fillId="7" borderId="18" xfId="0" applyNumberFormat="1" applyFill="1" applyBorder="1" applyAlignment="1">
      <alignment horizontal="left"/>
    </xf>
    <xf numFmtId="0" fontId="0" fillId="7" borderId="19" xfId="0" applyFill="1" applyBorder="1" applyAlignment="1">
      <alignment horizontal="right"/>
    </xf>
    <xf numFmtId="2" fontId="0" fillId="7" borderId="16" xfId="0" applyNumberFormat="1" applyFill="1" applyBorder="1" applyAlignment="1">
      <alignment horizontal="left"/>
    </xf>
    <xf numFmtId="1" fontId="0" fillId="7" borderId="0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64" fontId="3" fillId="5" borderId="5" xfId="0" applyNumberFormat="1" applyFont="1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21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0" fillId="7" borderId="11" xfId="0" applyNumberFormat="1" applyFill="1" applyBorder="1"/>
    <xf numFmtId="2" fontId="0" fillId="0" borderId="0" xfId="0" applyNumberFormat="1" applyFill="1"/>
    <xf numFmtId="0" fontId="1" fillId="0" borderId="5" xfId="0" applyFont="1" applyFill="1" applyBorder="1" applyAlignment="1">
      <alignment horizontal="center"/>
    </xf>
    <xf numFmtId="164" fontId="0" fillId="5" borderId="0" xfId="0" applyNumberFormat="1" applyFill="1" applyBorder="1"/>
    <xf numFmtId="1" fontId="0" fillId="5" borderId="0" xfId="0" applyNumberFormat="1" applyFill="1" applyBorder="1"/>
    <xf numFmtId="0" fontId="0" fillId="5" borderId="0" xfId="0" applyFill="1" applyBorder="1" applyAlignment="1">
      <alignment horizontal="center"/>
    </xf>
    <xf numFmtId="2" fontId="3" fillId="5" borderId="0" xfId="0" applyNumberFormat="1" applyFont="1" applyFill="1" applyAlignment="1">
      <alignment horizontal="center"/>
    </xf>
    <xf numFmtId="164" fontId="1" fillId="3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826308125777463E-2"/>
          <c:y val="0.31731204160227633"/>
          <c:w val="0.79188533021210183"/>
          <c:h val="0.5257544092035224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Sheet1!$V$3</c:f>
              <c:strCache>
                <c:ptCount val="1"/>
                <c:pt idx="0">
                  <c:v>H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-0.45757540992499951"/>
                  <c:y val="0.37988397478352587"/>
                </c:manualLayout>
              </c:layout>
              <c:numFmt formatCode="General" sourceLinked="0"/>
            </c:trendlineLbl>
          </c:trendline>
          <c:xVal>
            <c:numRef>
              <c:f>Sheet1!$U$5:$U$24</c:f>
              <c:numCache>
                <c:formatCode>0.00</c:formatCode>
                <c:ptCount val="20"/>
                <c:pt idx="0">
                  <c:v>1.9930313594857391E-2</c:v>
                </c:pt>
                <c:pt idx="1">
                  <c:v>3.9721254379429569E-2</c:v>
                </c:pt>
                <c:pt idx="2">
                  <c:v>5.9372822312829192E-2</c:v>
                </c:pt>
                <c:pt idx="3">
                  <c:v>7.8885017408685379E-2</c:v>
                </c:pt>
                <c:pt idx="4">
                  <c:v>9.8257839735143682E-2</c:v>
                </c:pt>
                <c:pt idx="5">
                  <c:v>0.11749128925131676</c:v>
                </c:pt>
                <c:pt idx="6">
                  <c:v>0.1365853657663971</c:v>
                </c:pt>
                <c:pt idx="7">
                  <c:v>0.15554006963474151</c:v>
                </c:pt>
                <c:pt idx="8">
                  <c:v>0.1743554006928007</c:v>
                </c:pt>
                <c:pt idx="9">
                  <c:v>0.19303135894057469</c:v>
                </c:pt>
                <c:pt idx="10">
                  <c:v>0.21156794437806345</c:v>
                </c:pt>
                <c:pt idx="11">
                  <c:v>0.22996515700526701</c:v>
                </c:pt>
                <c:pt idx="12">
                  <c:v>0.24822299682218532</c:v>
                </c:pt>
                <c:pt idx="13">
                  <c:v>0.26634146306558831</c:v>
                </c:pt>
                <c:pt idx="14">
                  <c:v>0.28432055720741978</c:v>
                </c:pt>
                <c:pt idx="15">
                  <c:v>0.30216027853896604</c:v>
                </c:pt>
                <c:pt idx="16">
                  <c:v>0.31986062706022705</c:v>
                </c:pt>
                <c:pt idx="17">
                  <c:v>0.33742160277120292</c:v>
                </c:pt>
                <c:pt idx="18">
                  <c:v>0.35484320567189348</c:v>
                </c:pt>
                <c:pt idx="19">
                  <c:v>0.3721254357622989</c:v>
                </c:pt>
              </c:numCache>
            </c:numRef>
          </c:xVal>
          <c:yVal>
            <c:numRef>
              <c:f>Sheet1!$V$5:$V$24</c:f>
              <c:numCache>
                <c:formatCode>0.00</c:formatCode>
                <c:ptCount val="20"/>
                <c:pt idx="0">
                  <c:v>30.044896709999339</c:v>
                </c:pt>
                <c:pt idx="1">
                  <c:v>30.169851078755741</c:v>
                </c:pt>
                <c:pt idx="2">
                  <c:v>30.372561141984391</c:v>
                </c:pt>
                <c:pt idx="3">
                  <c:v>30.65131799252616</c:v>
                </c:pt>
                <c:pt idx="4">
                  <c:v>31.004456603787208</c:v>
                </c:pt>
                <c:pt idx="5">
                  <c:v>31.430330641348856</c:v>
                </c:pt>
                <c:pt idx="6">
                  <c:v>31.927307796615491</c:v>
                </c:pt>
                <c:pt idx="7">
                  <c:v>32.493768484063558</c:v>
                </c:pt>
                <c:pt idx="8">
                  <c:v>33.128105337515244</c:v>
                </c:pt>
                <c:pt idx="9">
                  <c:v>33.828723026030147</c:v>
                </c:pt>
                <c:pt idx="10">
                  <c:v>34.594038154866894</c:v>
                </c:pt>
                <c:pt idx="11">
                  <c:v>35.422479216449773</c:v>
                </c:pt>
                <c:pt idx="12">
                  <c:v>36.312486563310301</c:v>
                </c:pt>
                <c:pt idx="13">
                  <c:v>37.262512350890617</c:v>
                </c:pt>
                <c:pt idx="14">
                  <c:v>38.271020687663317</c:v>
                </c:pt>
                <c:pt idx="15">
                  <c:v>39.336487397948559</c:v>
                </c:pt>
                <c:pt idx="16">
                  <c:v>40.457400166533745</c:v>
                </c:pt>
                <c:pt idx="17">
                  <c:v>41.632258500121651</c:v>
                </c:pt>
                <c:pt idx="18">
                  <c:v>42.859573725470739</c:v>
                </c:pt>
                <c:pt idx="19">
                  <c:v>44.137868988082758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Sheet1!$Z$3</c:f>
              <c:strCache>
                <c:ptCount val="1"/>
                <c:pt idx="0">
                  <c:v>Hb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RSqr val="0"/>
            <c:dispEq val="1"/>
            <c:trendlineLbl>
              <c:layout>
                <c:manualLayout>
                  <c:x val="7.8059682869806475E-3"/>
                  <c:y val="-0.2858516239688064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/>
                      <a:t>y = -40,5x</a:t>
                    </a:r>
                    <a:r>
                      <a:rPr lang="en-US" baseline="30000"/>
                      <a:t>2</a:t>
                    </a:r>
                    <a:r>
                      <a:rPr lang="en-US" baseline="0"/>
                      <a:t> + 41,749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Sheet1!$Y$5:$Y$24</c:f>
              <c:numCache>
                <c:formatCode>0.000</c:formatCode>
                <c:ptCount val="20"/>
                <c:pt idx="0">
                  <c:v>1.9930313594857391E-2</c:v>
                </c:pt>
                <c:pt idx="1">
                  <c:v>3.9721254379429569E-2</c:v>
                </c:pt>
                <c:pt idx="2">
                  <c:v>5.9372822312829192E-2</c:v>
                </c:pt>
                <c:pt idx="3">
                  <c:v>7.8885017408685379E-2</c:v>
                </c:pt>
                <c:pt idx="4">
                  <c:v>9.8257839735143682E-2</c:v>
                </c:pt>
                <c:pt idx="5">
                  <c:v>0.11749128925131676</c:v>
                </c:pt>
                <c:pt idx="6">
                  <c:v>0.1365853657663971</c:v>
                </c:pt>
                <c:pt idx="7">
                  <c:v>0.15554006963474151</c:v>
                </c:pt>
                <c:pt idx="8">
                  <c:v>0.1743554006928007</c:v>
                </c:pt>
                <c:pt idx="9">
                  <c:v>0.19303135894057469</c:v>
                </c:pt>
                <c:pt idx="10" formatCode="0.0000">
                  <c:v>0.21156794437806345</c:v>
                </c:pt>
                <c:pt idx="11">
                  <c:v>0.22996515700526701</c:v>
                </c:pt>
                <c:pt idx="12">
                  <c:v>0.24822299682218532</c:v>
                </c:pt>
                <c:pt idx="13">
                  <c:v>0.26634146306558831</c:v>
                </c:pt>
                <c:pt idx="14">
                  <c:v>0.28432055720741978</c:v>
                </c:pt>
                <c:pt idx="15">
                  <c:v>0.30216027853896604</c:v>
                </c:pt>
                <c:pt idx="16">
                  <c:v>0.31986062706022705</c:v>
                </c:pt>
                <c:pt idx="17">
                  <c:v>0.33742160277120292</c:v>
                </c:pt>
                <c:pt idx="18">
                  <c:v>0.35484320567189348</c:v>
                </c:pt>
                <c:pt idx="19">
                  <c:v>0.3721254357622989</c:v>
                </c:pt>
              </c:numCache>
            </c:numRef>
          </c:xVal>
          <c:yVal>
            <c:numRef>
              <c:f>Sheet1!$Z$5:$Z$24</c:f>
              <c:numCache>
                <c:formatCode>0.00</c:formatCode>
                <c:ptCount val="20"/>
                <c:pt idx="0">
                  <c:v>41.733242694920115</c:v>
                </c:pt>
                <c:pt idx="1">
                  <c:v>41.68542998861593</c:v>
                </c:pt>
                <c:pt idx="2">
                  <c:v>41.606562152429355</c:v>
                </c:pt>
                <c:pt idx="3">
                  <c:v>41.497304737771152</c:v>
                </c:pt>
                <c:pt idx="4">
                  <c:v>41.358318575308289</c:v>
                </c:pt>
                <c:pt idx="5">
                  <c:v>41.19025977609725</c:v>
                </c:pt>
                <c:pt idx="6">
                  <c:v>40.99377973288729</c:v>
                </c:pt>
                <c:pt idx="7">
                  <c:v>40.769525112509484</c:v>
                </c:pt>
                <c:pt idx="8">
                  <c:v>40.518137866714426</c:v>
                </c:pt>
                <c:pt idx="9">
                  <c:v>40.240255225474662</c:v>
                </c:pt>
                <c:pt idx="10" formatCode="0.0000">
                  <c:v>39.93650969854113</c:v>
                </c:pt>
                <c:pt idx="11">
                  <c:v>39.607529075443168</c:v>
                </c:pt>
                <c:pt idx="12">
                  <c:v>39.253936425488526</c:v>
                </c:pt>
                <c:pt idx="13">
                  <c:v>38.876350114228998</c:v>
                </c:pt>
                <c:pt idx="14">
                  <c:v>38.475383739964805</c:v>
                </c:pt>
                <c:pt idx="15">
                  <c:v>38.051646225586488</c:v>
                </c:pt>
                <c:pt idx="16">
                  <c:v>37.605741759513535</c:v>
                </c:pt>
                <c:pt idx="17">
                  <c:v>37.138269809943843</c:v>
                </c:pt>
                <c:pt idx="18">
                  <c:v>36.649825124853699</c:v>
                </c:pt>
                <c:pt idx="19">
                  <c:v>36.140997731997807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Sheet1!$Y$3</c:f>
              <c:strCache>
                <c:ptCount val="1"/>
                <c:pt idx="0">
                  <c:v>Q</c:v>
                </c:pt>
              </c:strCache>
            </c:strRef>
          </c:tx>
          <c:spPr>
            <a:ln w="28575">
              <a:noFill/>
            </a:ln>
          </c:spPr>
          <c:xVal>
            <c:numRef>
              <c:f>Sheet1!$U$6:$U$18</c:f>
              <c:numCache>
                <c:formatCode>0.00</c:formatCode>
                <c:ptCount val="13"/>
                <c:pt idx="0">
                  <c:v>3.9721254379429569E-2</c:v>
                </c:pt>
                <c:pt idx="1">
                  <c:v>5.9372822312829192E-2</c:v>
                </c:pt>
                <c:pt idx="2">
                  <c:v>7.8885017408685379E-2</c:v>
                </c:pt>
                <c:pt idx="3">
                  <c:v>9.8257839735143682E-2</c:v>
                </c:pt>
                <c:pt idx="4">
                  <c:v>0.11749128925131676</c:v>
                </c:pt>
                <c:pt idx="5">
                  <c:v>0.1365853657663971</c:v>
                </c:pt>
                <c:pt idx="6">
                  <c:v>0.15554006963474151</c:v>
                </c:pt>
                <c:pt idx="7">
                  <c:v>0.1743554006928007</c:v>
                </c:pt>
                <c:pt idx="8">
                  <c:v>0.19303135894057469</c:v>
                </c:pt>
                <c:pt idx="9">
                  <c:v>0.21156794437806345</c:v>
                </c:pt>
                <c:pt idx="10">
                  <c:v>0.22996515700526701</c:v>
                </c:pt>
                <c:pt idx="11">
                  <c:v>0.24822299682218532</c:v>
                </c:pt>
                <c:pt idx="12">
                  <c:v>0.26634146306558831</c:v>
                </c:pt>
              </c:numCache>
            </c:numRef>
          </c:xVal>
          <c:yVal>
            <c:numRef>
              <c:f>Sheet1!$Y$4:$Y$24</c:f>
              <c:numCache>
                <c:formatCode>0.000</c:formatCode>
                <c:ptCount val="21"/>
                <c:pt idx="0" formatCode="General">
                  <c:v>0</c:v>
                </c:pt>
                <c:pt idx="1">
                  <c:v>1.9930313594857391E-2</c:v>
                </c:pt>
                <c:pt idx="2">
                  <c:v>3.9721254379429569E-2</c:v>
                </c:pt>
                <c:pt idx="3">
                  <c:v>5.9372822312829192E-2</c:v>
                </c:pt>
                <c:pt idx="4">
                  <c:v>7.8885017408685379E-2</c:v>
                </c:pt>
                <c:pt idx="5">
                  <c:v>9.8257839735143682E-2</c:v>
                </c:pt>
                <c:pt idx="6">
                  <c:v>0.11749128925131676</c:v>
                </c:pt>
                <c:pt idx="7">
                  <c:v>0.1365853657663971</c:v>
                </c:pt>
                <c:pt idx="8">
                  <c:v>0.15554006963474151</c:v>
                </c:pt>
                <c:pt idx="9">
                  <c:v>0.1743554006928007</c:v>
                </c:pt>
                <c:pt idx="10">
                  <c:v>0.19303135894057469</c:v>
                </c:pt>
                <c:pt idx="11" formatCode="0.0000">
                  <c:v>0.21156794437806345</c:v>
                </c:pt>
                <c:pt idx="12">
                  <c:v>0.22996515700526701</c:v>
                </c:pt>
                <c:pt idx="13">
                  <c:v>0.24822299682218532</c:v>
                </c:pt>
                <c:pt idx="14">
                  <c:v>0.26634146306558831</c:v>
                </c:pt>
                <c:pt idx="15">
                  <c:v>0.28432055720741978</c:v>
                </c:pt>
                <c:pt idx="16">
                  <c:v>0.30216027853896604</c:v>
                </c:pt>
                <c:pt idx="17">
                  <c:v>0.31986062706022705</c:v>
                </c:pt>
                <c:pt idx="18">
                  <c:v>0.33742160277120292</c:v>
                </c:pt>
                <c:pt idx="19">
                  <c:v>0.35484320567189348</c:v>
                </c:pt>
                <c:pt idx="20">
                  <c:v>0.3721254357622989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159360"/>
        <c:axId val="214160896"/>
      </c:scatterChart>
      <c:valAx>
        <c:axId val="214159360"/>
        <c:scaling>
          <c:orientation val="minMax"/>
        </c:scaling>
        <c:delete val="0"/>
        <c:axPos val="b"/>
        <c:majorGridlines/>
        <c:minorGridlines/>
        <c:numFmt formatCode="0.00" sourceLinked="1"/>
        <c:majorTickMark val="out"/>
        <c:minorTickMark val="none"/>
        <c:tickLblPos val="nextTo"/>
        <c:crossAx val="214160896"/>
        <c:crosses val="autoZero"/>
        <c:crossBetween val="midCat"/>
      </c:valAx>
      <c:valAx>
        <c:axId val="214160896"/>
        <c:scaling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_tradnl"/>
                  <a:t>ALTURA</a:t>
                </a:r>
                <a:r>
                  <a:rPr lang="es-ES_tradnl" baseline="0"/>
                  <a:t> (M)</a:t>
                </a:r>
                <a:endParaRPr lang="es-ES_tradnl"/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14159360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_tradnl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_tradnl" sz="1200" baseline="0"/>
              <a:t>COTA LÁMINA DE AGUA</a:t>
            </a:r>
          </a:p>
        </c:rich>
      </c:tx>
      <c:layout>
        <c:manualLayout>
          <c:xMode val="edge"/>
          <c:yMode val="edge"/>
          <c:x val="1.5280832912220207E-2"/>
          <c:y val="8.5676145855205624E-2"/>
        </c:manualLayout>
      </c:layout>
      <c:overlay val="1"/>
      <c:spPr>
        <a:solidFill>
          <a:schemeClr val="bg1"/>
        </a:solidFill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Sheet1!$AC$3</c:f>
              <c:strCache>
                <c:ptCount val="1"/>
                <c:pt idx="0">
                  <c:v>Z</c:v>
                </c:pt>
              </c:strCache>
            </c:strRef>
          </c:tx>
          <c:marker>
            <c:symbol val="none"/>
          </c:marker>
          <c:cat>
            <c:numRef>
              <c:f>Sheet1!$AB$5:$AB$24</c:f>
              <c:numCache>
                <c:formatCode>General</c:formatCode>
                <c:ptCount val="20"/>
                <c:pt idx="0">
                  <c:v>28800</c:v>
                </c:pt>
                <c:pt idx="1">
                  <c:v>27360</c:v>
                </c:pt>
                <c:pt idx="2">
                  <c:v>25920</c:v>
                </c:pt>
                <c:pt idx="3">
                  <c:v>24480</c:v>
                </c:pt>
                <c:pt idx="4">
                  <c:v>23040</c:v>
                </c:pt>
                <c:pt idx="5">
                  <c:v>21600</c:v>
                </c:pt>
                <c:pt idx="6">
                  <c:v>20160</c:v>
                </c:pt>
                <c:pt idx="7">
                  <c:v>18720</c:v>
                </c:pt>
                <c:pt idx="8">
                  <c:v>17280</c:v>
                </c:pt>
                <c:pt idx="9">
                  <c:v>15840</c:v>
                </c:pt>
                <c:pt idx="10">
                  <c:v>14400</c:v>
                </c:pt>
                <c:pt idx="11">
                  <c:v>12960</c:v>
                </c:pt>
                <c:pt idx="12">
                  <c:v>11520</c:v>
                </c:pt>
                <c:pt idx="13">
                  <c:v>10080</c:v>
                </c:pt>
                <c:pt idx="14">
                  <c:v>8640</c:v>
                </c:pt>
                <c:pt idx="15">
                  <c:v>7200</c:v>
                </c:pt>
                <c:pt idx="16">
                  <c:v>5760</c:v>
                </c:pt>
                <c:pt idx="17">
                  <c:v>4320</c:v>
                </c:pt>
                <c:pt idx="18">
                  <c:v>2880</c:v>
                </c:pt>
                <c:pt idx="19">
                  <c:v>1440</c:v>
                </c:pt>
              </c:numCache>
            </c:numRef>
          </c:cat>
          <c:val>
            <c:numRef>
              <c:f>Sheet1!$AC$5:$AC$24</c:f>
              <c:numCache>
                <c:formatCode>0.00</c:formatCode>
                <c:ptCount val="20"/>
                <c:pt idx="0">
                  <c:v>91.999998805041997</c:v>
                </c:pt>
                <c:pt idx="1">
                  <c:v>91.965120762204961</c:v>
                </c:pt>
                <c:pt idx="2">
                  <c:v>91.895608578907272</c:v>
                </c:pt>
                <c:pt idx="3">
                  <c:v>91.791706157596821</c:v>
                </c:pt>
                <c:pt idx="4">
                  <c:v>91.653657400697682</c:v>
                </c:pt>
                <c:pt idx="5">
                  <c:v>91.481706210514673</c:v>
                </c:pt>
                <c:pt idx="6">
                  <c:v>91.276096489424148</c:v>
                </c:pt>
                <c:pt idx="7">
                  <c:v>91.037072140136388</c:v>
                </c:pt>
                <c:pt idx="8">
                  <c:v>90.76487706474154</c:v>
                </c:pt>
                <c:pt idx="9">
                  <c:v>90.459755165615974</c:v>
                </c:pt>
                <c:pt idx="10">
                  <c:v>90.121950345136057</c:v>
                </c:pt>
                <c:pt idx="11">
                  <c:v>89.751706505678143</c:v>
                </c:pt>
                <c:pt idx="12">
                  <c:v>89.349267549618588</c:v>
                </c:pt>
                <c:pt idx="13">
                  <c:v>88.914877379333774</c:v>
                </c:pt>
                <c:pt idx="14">
                  <c:v>88.448779898535705</c:v>
                </c:pt>
                <c:pt idx="15">
                  <c:v>87.951219008360482</c:v>
                </c:pt>
                <c:pt idx="16">
                  <c:v>87.422438611184489</c:v>
                </c:pt>
                <c:pt idx="17">
                  <c:v>86.86268260938408</c:v>
                </c:pt>
                <c:pt idx="18">
                  <c:v>86.272194905335624</c:v>
                </c:pt>
                <c:pt idx="19">
                  <c:v>85.651219401415474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68800"/>
        <c:axId val="214670336"/>
      </c:lineChart>
      <c:catAx>
        <c:axId val="214668800"/>
        <c:scaling>
          <c:orientation val="maxMin"/>
        </c:scaling>
        <c:delete val="0"/>
        <c:axPos val="b"/>
        <c:numFmt formatCode="General" sourceLinked="1"/>
        <c:majorTickMark val="out"/>
        <c:minorTickMark val="none"/>
        <c:tickLblPos val="nextTo"/>
        <c:crossAx val="214670336"/>
        <c:crosses val="autoZero"/>
        <c:auto val="1"/>
        <c:lblAlgn val="ctr"/>
        <c:lblOffset val="100"/>
        <c:tickLblSkip val="2"/>
        <c:tickMarkSkip val="2880"/>
        <c:noMultiLvlLbl val="0"/>
      </c:catAx>
      <c:valAx>
        <c:axId val="214670336"/>
        <c:scaling>
          <c:orientation val="minMax"/>
          <c:max val="92"/>
          <c:min val="85"/>
        </c:scaling>
        <c:delete val="0"/>
        <c:axPos val="r"/>
        <c:majorGridlines/>
        <c:numFmt formatCode="0.00" sourceLinked="1"/>
        <c:majorTickMark val="out"/>
        <c:minorTickMark val="none"/>
        <c:tickLblPos val="nextTo"/>
        <c:crossAx val="21466880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n>
            <a:noFill/>
          </a:ln>
        </a:defRPr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36579</xdr:colOff>
      <xdr:row>7</xdr:row>
      <xdr:rowOff>155521</xdr:rowOff>
    </xdr:from>
    <xdr:to>
      <xdr:col>11</xdr:col>
      <xdr:colOff>613121</xdr:colOff>
      <xdr:row>10</xdr:row>
      <xdr:rowOff>184097</xdr:rowOff>
    </xdr:to>
    <xdr:sp macro="" textlink="">
      <xdr:nvSpPr>
        <xdr:cNvPr id="2" name="Rectangle 1"/>
        <xdr:cNvSpPr/>
      </xdr:nvSpPr>
      <xdr:spPr>
        <a:xfrm>
          <a:off x="7139508" y="1516235"/>
          <a:ext cx="1542649" cy="60007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/>
            <a:t>Depósito Superior </a:t>
          </a:r>
        </a:p>
        <a:p>
          <a:pPr algn="l"/>
          <a:r>
            <a:rPr lang="es-ES_tradnl" sz="1100"/>
            <a:t>Cota</a:t>
          </a:r>
          <a:r>
            <a:rPr lang="es-ES_tradnl" sz="1100" baseline="0"/>
            <a:t> </a:t>
          </a:r>
          <a:r>
            <a:rPr lang="es-ES_tradnl" sz="1100"/>
            <a:t>92-85</a:t>
          </a:r>
        </a:p>
        <a:p>
          <a:pPr algn="l"/>
          <a:endParaRPr lang="es-ES_tradnl" sz="1100"/>
        </a:p>
      </xdr:txBody>
    </xdr:sp>
    <xdr:clientData/>
  </xdr:twoCellAnchor>
  <xdr:twoCellAnchor>
    <xdr:from>
      <xdr:col>14</xdr:col>
      <xdr:colOff>4482</xdr:colOff>
      <xdr:row>16</xdr:row>
      <xdr:rowOff>152400</xdr:rowOff>
    </xdr:from>
    <xdr:to>
      <xdr:col>15</xdr:col>
      <xdr:colOff>582706</xdr:colOff>
      <xdr:row>20</xdr:row>
      <xdr:rowOff>44824</xdr:rowOff>
    </xdr:to>
    <xdr:sp macro="" textlink="">
      <xdr:nvSpPr>
        <xdr:cNvPr id="3" name="Rectangle 2"/>
        <xdr:cNvSpPr/>
      </xdr:nvSpPr>
      <xdr:spPr>
        <a:xfrm>
          <a:off x="10706100" y="3256429"/>
          <a:ext cx="1183341" cy="67683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/>
            <a:t>Depósito</a:t>
          </a:r>
          <a:r>
            <a:rPr lang="es-ES_tradnl" sz="1100" baseline="0"/>
            <a:t> Inferior</a:t>
          </a:r>
          <a:endParaRPr lang="es-ES_tradnl" sz="1100"/>
        </a:p>
        <a:p>
          <a:pPr algn="l"/>
          <a:r>
            <a:rPr lang="es-ES_tradnl" sz="1100"/>
            <a:t>Cota 55</a:t>
          </a:r>
        </a:p>
        <a:p>
          <a:pPr algn="l"/>
          <a:endParaRPr lang="es-ES_tradnl" sz="1100"/>
        </a:p>
      </xdr:txBody>
    </xdr:sp>
    <xdr:clientData/>
  </xdr:twoCellAnchor>
  <xdr:twoCellAnchor>
    <xdr:from>
      <xdr:col>11</xdr:col>
      <xdr:colOff>613121</xdr:colOff>
      <xdr:row>9</xdr:row>
      <xdr:rowOff>74559</xdr:rowOff>
    </xdr:from>
    <xdr:to>
      <xdr:col>12</xdr:col>
      <xdr:colOff>806823</xdr:colOff>
      <xdr:row>18</xdr:row>
      <xdr:rowOff>116261</xdr:rowOff>
    </xdr:to>
    <xdr:cxnSp macro="">
      <xdr:nvCxnSpPr>
        <xdr:cNvPr id="5" name="Straight Connector 4"/>
        <xdr:cNvCxnSpPr>
          <a:stCxn id="9" idx="2"/>
          <a:endCxn id="2" idx="3"/>
        </xdr:cNvCxnSpPr>
      </xdr:nvCxnSpPr>
      <xdr:spPr>
        <a:xfrm flipH="1" flipV="1">
          <a:off x="8636533" y="1822677"/>
          <a:ext cx="989319" cy="177861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806823</xdr:colOff>
      <xdr:row>17</xdr:row>
      <xdr:rowOff>120463</xdr:rowOff>
    </xdr:from>
    <xdr:to>
      <xdr:col>13</xdr:col>
      <xdr:colOff>246529</xdr:colOff>
      <xdr:row>19</xdr:row>
      <xdr:rowOff>112059</xdr:rowOff>
    </xdr:to>
    <xdr:sp macro="" textlink="">
      <xdr:nvSpPr>
        <xdr:cNvPr id="9" name="Oval 8"/>
        <xdr:cNvSpPr/>
      </xdr:nvSpPr>
      <xdr:spPr>
        <a:xfrm>
          <a:off x="9625852" y="3414992"/>
          <a:ext cx="358589" cy="372596"/>
        </a:xfrm>
        <a:prstGeom prst="ellips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ES_tradnl" sz="1100"/>
            <a:t>B</a:t>
          </a:r>
        </a:p>
      </xdr:txBody>
    </xdr:sp>
    <xdr:clientData/>
  </xdr:twoCellAnchor>
  <xdr:twoCellAnchor>
    <xdr:from>
      <xdr:col>13</xdr:col>
      <xdr:colOff>246529</xdr:colOff>
      <xdr:row>18</xdr:row>
      <xdr:rowOff>98612</xdr:rowOff>
    </xdr:from>
    <xdr:to>
      <xdr:col>14</xdr:col>
      <xdr:colOff>4482</xdr:colOff>
      <xdr:row>18</xdr:row>
      <xdr:rowOff>116261</xdr:rowOff>
    </xdr:to>
    <xdr:cxnSp macro="">
      <xdr:nvCxnSpPr>
        <xdr:cNvPr id="13" name="Straight Connector 12"/>
        <xdr:cNvCxnSpPr>
          <a:stCxn id="9" idx="6"/>
          <a:endCxn id="3" idx="1"/>
        </xdr:cNvCxnSpPr>
      </xdr:nvCxnSpPr>
      <xdr:spPr>
        <a:xfrm flipV="1">
          <a:off x="9984441" y="3583641"/>
          <a:ext cx="721659" cy="176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28574</xdr:colOff>
      <xdr:row>9</xdr:row>
      <xdr:rowOff>74559</xdr:rowOff>
    </xdr:from>
    <xdr:to>
      <xdr:col>10</xdr:col>
      <xdr:colOff>36579</xdr:colOff>
      <xdr:row>13</xdr:row>
      <xdr:rowOff>10205</xdr:rowOff>
    </xdr:to>
    <xdr:cxnSp macro="">
      <xdr:nvCxnSpPr>
        <xdr:cNvPr id="17" name="Straight Connector 16"/>
        <xdr:cNvCxnSpPr>
          <a:stCxn id="2" idx="1"/>
          <a:endCxn id="26" idx="1"/>
        </xdr:cNvCxnSpPr>
      </xdr:nvCxnSpPr>
      <xdr:spPr>
        <a:xfrm flipH="1">
          <a:off x="2423431" y="1816273"/>
          <a:ext cx="4716077" cy="72486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219071</xdr:colOff>
      <xdr:row>10</xdr:row>
      <xdr:rowOff>76199</xdr:rowOff>
    </xdr:from>
    <xdr:to>
      <xdr:col>3</xdr:col>
      <xdr:colOff>28574</xdr:colOff>
      <xdr:row>15</xdr:row>
      <xdr:rowOff>161925</xdr:rowOff>
    </xdr:to>
    <xdr:sp macro="" textlink="">
      <xdr:nvSpPr>
        <xdr:cNvPr id="26" name="Right Arrow 25"/>
        <xdr:cNvSpPr/>
      </xdr:nvSpPr>
      <xdr:spPr>
        <a:xfrm flipH="1">
          <a:off x="219071" y="1790699"/>
          <a:ext cx="1647828" cy="1038226"/>
        </a:xfrm>
        <a:prstGeom prst="rightArrow">
          <a:avLst>
            <a:gd name="adj1" fmla="val 42661"/>
            <a:gd name="adj2" fmla="val 5458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_tradnl" sz="1100"/>
            <a:t>(C) DEMANDA</a:t>
          </a:r>
          <a:r>
            <a:rPr lang="es-ES_tradnl" sz="1100" baseline="0"/>
            <a:t> </a:t>
          </a:r>
          <a:r>
            <a:rPr lang="es-ES_tradnl" sz="1100"/>
            <a:t>Cota 80</a:t>
          </a:r>
        </a:p>
        <a:p>
          <a:pPr algn="l"/>
          <a:r>
            <a:rPr lang="es-ES_tradnl" sz="1100"/>
            <a:t>Caudal</a:t>
          </a:r>
          <a:r>
            <a:rPr lang="es-ES_tradnl" sz="1100" baseline="0"/>
            <a:t> 100l/s</a:t>
          </a:r>
          <a:endParaRPr lang="es-ES_tradnl" sz="1100"/>
        </a:p>
        <a:p>
          <a:pPr algn="l"/>
          <a:endParaRPr lang="es-ES_tradnl" sz="1100"/>
        </a:p>
      </xdr:txBody>
    </xdr:sp>
    <xdr:clientData/>
  </xdr:twoCellAnchor>
  <xdr:twoCellAnchor>
    <xdr:from>
      <xdr:col>17</xdr:col>
      <xdr:colOff>6619</xdr:colOff>
      <xdr:row>25</xdr:row>
      <xdr:rowOff>65554</xdr:rowOff>
    </xdr:from>
    <xdr:to>
      <xdr:col>29</xdr:col>
      <xdr:colOff>17319</xdr:colOff>
      <xdr:row>49</xdr:row>
      <xdr:rowOff>17317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292373</xdr:colOff>
      <xdr:row>25</xdr:row>
      <xdr:rowOff>156883</xdr:rowOff>
    </xdr:from>
    <xdr:to>
      <xdr:col>28</xdr:col>
      <xdr:colOff>332933</xdr:colOff>
      <xdr:row>32</xdr:row>
      <xdr:rowOff>53488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466576</xdr:colOff>
      <xdr:row>39</xdr:row>
      <xdr:rowOff>176240</xdr:rowOff>
    </xdr:from>
    <xdr:to>
      <xdr:col>26</xdr:col>
      <xdr:colOff>175220</xdr:colOff>
      <xdr:row>41</xdr:row>
      <xdr:rowOff>159309</xdr:rowOff>
    </xdr:to>
    <xdr:cxnSp macro="">
      <xdr:nvCxnSpPr>
        <xdr:cNvPr id="12" name="Elbow Connector 11"/>
        <xdr:cNvCxnSpPr/>
      </xdr:nvCxnSpPr>
      <xdr:spPr>
        <a:xfrm rot="10800000">
          <a:off x="18009894" y="7692331"/>
          <a:ext cx="522599" cy="364069"/>
        </a:xfrm>
        <a:prstGeom prst="bentConnector3">
          <a:avLst>
            <a:gd name="adj1" fmla="val 100000"/>
          </a:avLst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480835</xdr:colOff>
      <xdr:row>41</xdr:row>
      <xdr:rowOff>183369</xdr:rowOff>
    </xdr:from>
    <xdr:ext cx="1378839" cy="436786"/>
    <xdr:sp macro="" textlink="">
      <xdr:nvSpPr>
        <xdr:cNvPr id="21" name="TextBox 20"/>
        <xdr:cNvSpPr txBox="1"/>
      </xdr:nvSpPr>
      <xdr:spPr>
        <a:xfrm>
          <a:off x="18006835" y="8061104"/>
          <a:ext cx="137883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ES_tradnl" sz="1100"/>
            <a:t>Pto.</a:t>
          </a:r>
          <a:r>
            <a:rPr lang="es-ES_tradnl" sz="1100" baseline="0"/>
            <a:t> Funcionamiento</a:t>
          </a:r>
        </a:p>
        <a:p>
          <a:r>
            <a:rPr lang="es-ES_tradnl" sz="1100" baseline="0"/>
            <a:t>Q=284, H=38,48m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0.64261</cdr:x>
      <cdr:y>0.5357</cdr:y>
    </cdr:from>
    <cdr:to>
      <cdr:x>0.67108</cdr:x>
      <cdr:y>0.59343</cdr:y>
    </cdr:to>
    <cdr:sp macro="" textlink="">
      <cdr:nvSpPr>
        <cdr:cNvPr id="2" name="Oval 1"/>
        <cdr:cNvSpPr/>
      </cdr:nvSpPr>
      <cdr:spPr>
        <a:xfrm xmlns:a="http://schemas.openxmlformats.org/drawingml/2006/main">
          <a:off x="5488823" y="2183894"/>
          <a:ext cx="243174" cy="235348"/>
        </a:xfrm>
        <a:prstGeom xmlns:a="http://schemas.openxmlformats.org/drawingml/2006/main" prst="ellipse">
          <a:avLst/>
        </a:prstGeom>
        <a:solidFill xmlns:a="http://schemas.openxmlformats.org/drawingml/2006/main">
          <a:srgbClr val="FF0000">
            <a:alpha val="44000"/>
          </a:srgbClr>
        </a:solidFill>
        <a:ln xmlns:a="http://schemas.openxmlformats.org/drawingml/2006/main" w="9525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_tradnl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6"/>
  <sheetViews>
    <sheetView tabSelected="1" zoomScale="85" zoomScaleNormal="85" workbookViewId="0">
      <selection activeCell="W5" sqref="W5"/>
    </sheetView>
  </sheetViews>
  <sheetFormatPr defaultRowHeight="15" x14ac:dyDescent="0.25"/>
  <cols>
    <col min="1" max="1" width="9.28515625" bestFit="1" customWidth="1"/>
    <col min="3" max="3" width="17.28515625" bestFit="1" customWidth="1"/>
    <col min="6" max="6" width="14.85546875" bestFit="1" customWidth="1"/>
    <col min="7" max="7" width="8.85546875" bestFit="1" customWidth="1"/>
    <col min="8" max="8" width="12" bestFit="1" customWidth="1"/>
    <col min="9" max="9" width="8.5703125" bestFit="1" customWidth="1"/>
    <col min="10" max="10" width="7.85546875" bestFit="1" customWidth="1"/>
    <col min="11" max="11" width="14.42578125" bestFit="1" customWidth="1"/>
    <col min="12" max="12" width="12" bestFit="1" customWidth="1"/>
    <col min="13" max="13" width="13.7109375" bestFit="1" customWidth="1"/>
    <col min="14" max="14" width="14.42578125" bestFit="1" customWidth="1"/>
    <col min="18" max="18" width="9" bestFit="1" customWidth="1"/>
    <col min="19" max="19" width="6.140625" bestFit="1" customWidth="1"/>
    <col min="20" max="20" width="4.7109375" bestFit="1" customWidth="1"/>
    <col min="21" max="21" width="5.140625" bestFit="1" customWidth="1"/>
    <col min="22" max="22" width="6.28515625" bestFit="1" customWidth="1"/>
    <col min="23" max="23" width="22.140625" bestFit="1" customWidth="1"/>
    <col min="24" max="24" width="9.42578125" customWidth="1"/>
    <col min="25" max="29" width="12.140625" customWidth="1"/>
    <col min="31" max="31" width="5" bestFit="1" customWidth="1"/>
    <col min="32" max="32" width="17.28515625" bestFit="1" customWidth="1"/>
  </cols>
  <sheetData>
    <row r="1" spans="1:32" x14ac:dyDescent="0.25">
      <c r="A1" s="81" t="s">
        <v>41</v>
      </c>
      <c r="B1" s="82"/>
      <c r="C1" s="82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1"/>
      <c r="R1" s="18">
        <f>0.5/(S1*10^3)</f>
        <v>1.4285714285714286E-3</v>
      </c>
      <c r="S1" s="19">
        <v>0.35</v>
      </c>
      <c r="AC1" s="56">
        <v>1440</v>
      </c>
    </row>
    <row r="2" spans="1:32" x14ac:dyDescent="0.25">
      <c r="A2" s="59"/>
      <c r="B2" s="60"/>
      <c r="C2" s="60"/>
      <c r="D2" s="60"/>
      <c r="E2" s="60"/>
      <c r="F2" s="60"/>
      <c r="G2" s="60"/>
      <c r="H2" s="60"/>
      <c r="I2" s="60"/>
      <c r="J2" s="60"/>
      <c r="K2" s="84" t="s">
        <v>0</v>
      </c>
      <c r="L2" s="85"/>
      <c r="M2" s="60"/>
      <c r="N2" s="60"/>
      <c r="O2" s="60"/>
      <c r="P2" s="61"/>
      <c r="Q2" s="1"/>
      <c r="R2" s="88" t="s">
        <v>33</v>
      </c>
      <c r="S2" s="88"/>
      <c r="T2" s="88"/>
      <c r="U2" s="88"/>
      <c r="V2" s="88"/>
      <c r="X2" s="98" t="s">
        <v>37</v>
      </c>
      <c r="Y2" s="98"/>
      <c r="Z2" s="98"/>
      <c r="AA2" s="98"/>
      <c r="AB2" s="98"/>
      <c r="AC2" s="98"/>
    </row>
    <row r="3" spans="1:32" x14ac:dyDescent="0.25">
      <c r="A3" s="59"/>
      <c r="B3" s="60"/>
      <c r="C3" s="60"/>
      <c r="D3" s="60"/>
      <c r="E3" s="60"/>
      <c r="F3" s="60"/>
      <c r="G3" s="60"/>
      <c r="H3" s="60"/>
      <c r="I3" s="60"/>
      <c r="J3" s="60"/>
      <c r="K3" s="74" t="s">
        <v>2</v>
      </c>
      <c r="L3" s="77">
        <v>92</v>
      </c>
      <c r="M3" s="60"/>
      <c r="N3" s="60"/>
      <c r="O3" s="60"/>
      <c r="P3" s="61"/>
      <c r="Q3" s="1"/>
      <c r="R3" s="16" t="s">
        <v>8</v>
      </c>
      <c r="S3" s="15" t="s">
        <v>16</v>
      </c>
      <c r="T3" s="15" t="s">
        <v>27</v>
      </c>
      <c r="U3" s="16" t="s">
        <v>25</v>
      </c>
      <c r="V3" s="17" t="s">
        <v>26</v>
      </c>
      <c r="W3" s="90"/>
      <c r="X3" s="15" t="s">
        <v>27</v>
      </c>
      <c r="Y3" s="93" t="s">
        <v>25</v>
      </c>
      <c r="Z3" s="13" t="s">
        <v>46</v>
      </c>
      <c r="AA3" s="14" t="s">
        <v>47</v>
      </c>
      <c r="AB3" s="14" t="s">
        <v>29</v>
      </c>
      <c r="AC3" s="14" t="s">
        <v>28</v>
      </c>
      <c r="AF3" s="8"/>
    </row>
    <row r="4" spans="1:32" ht="17.25" x14ac:dyDescent="0.25">
      <c r="A4" s="59"/>
      <c r="B4" s="60"/>
      <c r="C4" s="60"/>
      <c r="D4" s="60"/>
      <c r="E4" s="60"/>
      <c r="F4" s="60"/>
      <c r="G4" s="60"/>
      <c r="H4" s="60"/>
      <c r="I4" s="60"/>
      <c r="J4" s="60"/>
      <c r="K4" s="69" t="s">
        <v>3</v>
      </c>
      <c r="L4" s="75">
        <v>85</v>
      </c>
      <c r="M4" s="60"/>
      <c r="N4" s="60"/>
      <c r="O4" s="60"/>
      <c r="P4" s="61"/>
      <c r="Q4" s="1"/>
      <c r="R4" s="15" t="s">
        <v>34</v>
      </c>
      <c r="S4" s="15" t="s">
        <v>34</v>
      </c>
      <c r="T4" s="15" t="s">
        <v>32</v>
      </c>
      <c r="U4" s="15" t="s">
        <v>35</v>
      </c>
      <c r="V4" s="15" t="s">
        <v>36</v>
      </c>
      <c r="X4" s="15" t="s">
        <v>32</v>
      </c>
      <c r="Y4" s="35" t="s">
        <v>35</v>
      </c>
      <c r="Z4" s="35" t="s">
        <v>31</v>
      </c>
      <c r="AA4" s="35" t="s">
        <v>38</v>
      </c>
      <c r="AB4" s="35" t="s">
        <v>30</v>
      </c>
      <c r="AC4" s="35" t="s">
        <v>31</v>
      </c>
      <c r="AF4" s="8"/>
    </row>
    <row r="5" spans="1:32" x14ac:dyDescent="0.25">
      <c r="A5" s="59"/>
      <c r="B5" s="60"/>
      <c r="C5" s="60"/>
      <c r="D5" s="60"/>
      <c r="E5" s="60"/>
      <c r="F5" s="60"/>
      <c r="G5" s="60"/>
      <c r="H5" s="60"/>
      <c r="I5" s="60"/>
      <c r="J5" s="60"/>
      <c r="K5" s="69" t="s">
        <v>43</v>
      </c>
      <c r="L5" s="75">
        <f>H17*3600*16</f>
        <v>5760</v>
      </c>
      <c r="M5" s="60"/>
      <c r="N5" s="55"/>
      <c r="O5" s="60"/>
      <c r="P5" s="61"/>
      <c r="Q5" s="1"/>
      <c r="R5" s="20">
        <f t="shared" ref="R5:R18" si="0">T5*$S$1/(10^-6)</f>
        <v>72503.038308415009</v>
      </c>
      <c r="S5" s="24">
        <f t="shared" ref="S5:S20" si="1">((-1.8*LOG10((($R$1/3.715)^1.11)+(6.9/R5)))^-1)^2</f>
        <v>2.394881260830125E-2</v>
      </c>
      <c r="T5" s="21">
        <f t="shared" ref="T5:T18" si="2">U5/(PI()*$S$1^2/4)</f>
        <v>0.20715153802404287</v>
      </c>
      <c r="U5" s="22">
        <f>Y5</f>
        <v>1.9930313594857391E-2</v>
      </c>
      <c r="V5" s="22">
        <f>30+(S5/$S$1*T5^2/2/9.81*$P$10)</f>
        <v>30.044896709999339</v>
      </c>
      <c r="W5" s="8"/>
      <c r="X5" s="24">
        <f>Y5/(PI()*$S$1^2/4)</f>
        <v>0.20715153802404287</v>
      </c>
      <c r="Y5" s="40">
        <v>1.9930313594857391E-2</v>
      </c>
      <c r="Z5" s="22">
        <f>($L$3-$P$16+$P$12)-40.5*Y5^2</f>
        <v>41.733242694920115</v>
      </c>
      <c r="AA5" s="21">
        <f t="shared" ref="AA5:AA24" si="3">Y5*$AC$1</f>
        <v>28.699651576594643</v>
      </c>
      <c r="AB5" s="32">
        <f t="shared" ref="AB5:AB23" si="4">AB6+$AC$1</f>
        <v>28800</v>
      </c>
      <c r="AC5" s="21">
        <f t="shared" ref="AC5:AC23" si="5">AA5/$L$7+AC6</f>
        <v>91.999998805041997</v>
      </c>
      <c r="AF5" s="8"/>
    </row>
    <row r="6" spans="1:32" x14ac:dyDescent="0.25">
      <c r="A6" s="59"/>
      <c r="B6" s="60" t="s">
        <v>4</v>
      </c>
      <c r="C6" s="60"/>
      <c r="D6" s="60"/>
      <c r="E6" s="60"/>
      <c r="F6" s="60"/>
      <c r="G6" s="60"/>
      <c r="H6" s="60"/>
      <c r="I6" s="60"/>
      <c r="J6" s="60"/>
      <c r="K6" s="69" t="s">
        <v>44</v>
      </c>
      <c r="L6" s="75">
        <v>32.368108267299171</v>
      </c>
      <c r="M6" s="55"/>
      <c r="N6" s="55"/>
      <c r="O6" s="55"/>
      <c r="P6" s="91">
        <f>L3-P16</f>
        <v>37</v>
      </c>
      <c r="Q6" s="92">
        <f>P6+P12</f>
        <v>41.749329999619682</v>
      </c>
      <c r="R6" s="23">
        <f t="shared" si="0"/>
        <v>144499.0624067843</v>
      </c>
      <c r="S6" s="24">
        <f t="shared" si="1"/>
        <v>2.2809729371704949E-2</v>
      </c>
      <c r="T6" s="25">
        <f t="shared" si="2"/>
        <v>0.41285446401938369</v>
      </c>
      <c r="U6" s="26">
        <f t="shared" ref="U6:U24" si="6">Y6</f>
        <v>3.9721254379429569E-2</v>
      </c>
      <c r="V6" s="26">
        <f t="shared" ref="V6:V24" si="7">30+(S6/$S$1*T6^2/2/9.81*$P$10)</f>
        <v>30.169851078755741</v>
      </c>
      <c r="W6" s="8"/>
      <c r="X6" s="24">
        <f t="shared" ref="X6:X24" si="8">Y6/(PI()*$S$1^2/4)</f>
        <v>0.41285446401938369</v>
      </c>
      <c r="Y6" s="2">
        <v>3.9721254379429569E-2</v>
      </c>
      <c r="Z6" s="26">
        <f t="shared" ref="Z6:Z24" si="9">($L$3-$P$16+$P$12)-40.5*Y6^2</f>
        <v>41.68542998861593</v>
      </c>
      <c r="AA6" s="25">
        <f t="shared" si="3"/>
        <v>57.198606306378579</v>
      </c>
      <c r="AB6" s="33">
        <f t="shared" si="4"/>
        <v>27360</v>
      </c>
      <c r="AC6" s="25">
        <f t="shared" si="5"/>
        <v>91.965120762204961</v>
      </c>
      <c r="AF6" s="8"/>
    </row>
    <row r="7" spans="1:32" x14ac:dyDescent="0.25">
      <c r="A7" s="59" t="s">
        <v>5</v>
      </c>
      <c r="B7" s="60">
        <v>80</v>
      </c>
      <c r="C7" s="60"/>
      <c r="D7" s="60"/>
      <c r="E7" s="60"/>
      <c r="F7" s="60"/>
      <c r="G7" s="60"/>
      <c r="H7" s="60"/>
      <c r="I7" s="60"/>
      <c r="J7" s="60"/>
      <c r="K7" s="76" t="s">
        <v>45</v>
      </c>
      <c r="L7" s="70">
        <f>L6^2*PI()/4</f>
        <v>822.85728332567942</v>
      </c>
      <c r="M7" s="60"/>
      <c r="N7" s="60"/>
      <c r="O7" s="60"/>
      <c r="P7" s="61"/>
      <c r="Q7" s="1"/>
      <c r="R7" s="23">
        <f t="shared" si="0"/>
        <v>215988.07214636676</v>
      </c>
      <c r="S7" s="24">
        <f t="shared" si="1"/>
        <v>2.2393392969305308E-2</v>
      </c>
      <c r="T7" s="25">
        <f t="shared" si="2"/>
        <v>0.61710877756104787</v>
      </c>
      <c r="U7" s="26">
        <f t="shared" si="6"/>
        <v>5.9372822312829192E-2</v>
      </c>
      <c r="V7" s="26">
        <f t="shared" si="7"/>
        <v>30.372561141984391</v>
      </c>
      <c r="W7" s="8"/>
      <c r="X7" s="24">
        <f t="shared" si="8"/>
        <v>0.61710877756104787</v>
      </c>
      <c r="Y7" s="36">
        <v>5.9372822312829192E-2</v>
      </c>
      <c r="Z7" s="25">
        <f t="shared" si="9"/>
        <v>41.606562152429355</v>
      </c>
      <c r="AA7" s="25">
        <f t="shared" si="3"/>
        <v>85.496864130474037</v>
      </c>
      <c r="AB7" s="33">
        <f t="shared" si="4"/>
        <v>25920</v>
      </c>
      <c r="AC7" s="25">
        <f t="shared" si="5"/>
        <v>91.895608578907272</v>
      </c>
      <c r="AF7" s="8"/>
    </row>
    <row r="8" spans="1:32" x14ac:dyDescent="0.25">
      <c r="A8" s="59" t="s">
        <v>6</v>
      </c>
      <c r="B8" s="60">
        <v>100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1"/>
      <c r="Q8" s="1"/>
      <c r="R8" s="23">
        <f t="shared" si="0"/>
        <v>286970.06757674279</v>
      </c>
      <c r="S8" s="24">
        <f t="shared" si="1"/>
        <v>2.2176946920892504E-2</v>
      </c>
      <c r="T8" s="25">
        <f t="shared" si="2"/>
        <v>0.81991447879069368</v>
      </c>
      <c r="U8" s="26">
        <f t="shared" si="6"/>
        <v>7.8885017408685379E-2</v>
      </c>
      <c r="V8" s="26">
        <f t="shared" si="7"/>
        <v>30.65131799252616</v>
      </c>
      <c r="W8" s="8"/>
      <c r="X8" s="24">
        <f t="shared" si="8"/>
        <v>0.81991447879069368</v>
      </c>
      <c r="Y8" s="36">
        <v>7.8885017408685379E-2</v>
      </c>
      <c r="Z8" s="25">
        <f t="shared" si="9"/>
        <v>41.497304737771152</v>
      </c>
      <c r="AA8" s="25">
        <f t="shared" si="3"/>
        <v>113.59442506850695</v>
      </c>
      <c r="AB8" s="33">
        <f t="shared" si="4"/>
        <v>24480</v>
      </c>
      <c r="AC8" s="25">
        <f t="shared" si="5"/>
        <v>91.791706157596821</v>
      </c>
      <c r="AF8" s="8"/>
    </row>
    <row r="9" spans="1:32" x14ac:dyDescent="0.25">
      <c r="A9" s="59" t="s">
        <v>7</v>
      </c>
      <c r="B9" s="60">
        <v>16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2" t="s">
        <v>23</v>
      </c>
      <c r="P9" s="71">
        <f>L5/(8*3600)</f>
        <v>0.2</v>
      </c>
      <c r="Q9" s="1"/>
      <c r="R9" s="23">
        <f t="shared" si="0"/>
        <v>357445.04894581414</v>
      </c>
      <c r="S9" s="24">
        <f t="shared" si="1"/>
        <v>2.2044207375301404E-2</v>
      </c>
      <c r="T9" s="25">
        <f t="shared" si="2"/>
        <v>1.0212715684166118</v>
      </c>
      <c r="U9" s="26">
        <f t="shared" si="6"/>
        <v>9.8257839735143682E-2</v>
      </c>
      <c r="V9" s="26">
        <f t="shared" si="7"/>
        <v>31.004456603787208</v>
      </c>
      <c r="W9" s="8"/>
      <c r="X9" s="24">
        <f t="shared" si="8"/>
        <v>1.0212715684166118</v>
      </c>
      <c r="Y9" s="36">
        <v>9.8257839735143682E-2</v>
      </c>
      <c r="Z9" s="25">
        <f t="shared" si="9"/>
        <v>41.358318575308289</v>
      </c>
      <c r="AA9" s="25">
        <f t="shared" si="3"/>
        <v>141.49128921860691</v>
      </c>
      <c r="AB9" s="33">
        <f t="shared" si="4"/>
        <v>23040</v>
      </c>
      <c r="AC9" s="25">
        <f t="shared" si="5"/>
        <v>91.653657400697682</v>
      </c>
      <c r="AF9" s="8"/>
    </row>
    <row r="10" spans="1:32" x14ac:dyDescent="0.25">
      <c r="A10" s="59"/>
      <c r="B10" s="60">
        <v>1500</v>
      </c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2" t="s">
        <v>24</v>
      </c>
      <c r="P10" s="71">
        <v>300</v>
      </c>
      <c r="Q10" s="1"/>
      <c r="R10" s="23">
        <f t="shared" si="0"/>
        <v>427413.01610483974</v>
      </c>
      <c r="S10" s="24">
        <f t="shared" si="1"/>
        <v>2.1954463888308701E-2</v>
      </c>
      <c r="T10" s="25">
        <f t="shared" si="2"/>
        <v>1.2211800460138278</v>
      </c>
      <c r="U10" s="26">
        <f t="shared" si="6"/>
        <v>0.11749128925131676</v>
      </c>
      <c r="V10" s="26">
        <f t="shared" si="7"/>
        <v>31.430330641348856</v>
      </c>
      <c r="W10" s="8"/>
      <c r="X10" s="24">
        <f t="shared" si="8"/>
        <v>1.2211800460138278</v>
      </c>
      <c r="Y10" s="36">
        <v>0.11749128925131676</v>
      </c>
      <c r="Z10" s="25">
        <f t="shared" si="9"/>
        <v>41.19025977609725</v>
      </c>
      <c r="AA10" s="25">
        <f t="shared" si="3"/>
        <v>169.18745652189614</v>
      </c>
      <c r="AB10" s="33">
        <f t="shared" si="4"/>
        <v>21600</v>
      </c>
      <c r="AC10" s="25">
        <f t="shared" si="5"/>
        <v>91.481706210514673</v>
      </c>
      <c r="AF10" s="8"/>
    </row>
    <row r="11" spans="1:32" ht="15.75" thickBot="1" x14ac:dyDescent="0.3">
      <c r="A11" s="59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1"/>
      <c r="Q11" s="1"/>
      <c r="R11" s="23">
        <f t="shared" si="0"/>
        <v>496873.96835969476</v>
      </c>
      <c r="S11" s="24">
        <f t="shared" si="1"/>
        <v>2.1889733341350529E-2</v>
      </c>
      <c r="T11" s="25">
        <f t="shared" si="2"/>
        <v>1.4196399095991279</v>
      </c>
      <c r="U11" s="26">
        <f t="shared" si="6"/>
        <v>0.1365853657663971</v>
      </c>
      <c r="V11" s="26">
        <f t="shared" si="7"/>
        <v>31.927307796615491</v>
      </c>
      <c r="W11" s="8"/>
      <c r="X11" s="24">
        <f t="shared" si="8"/>
        <v>1.4196399095991279</v>
      </c>
      <c r="Y11" s="36">
        <v>0.1365853657663971</v>
      </c>
      <c r="Z11" s="25">
        <f t="shared" si="9"/>
        <v>40.99377973288729</v>
      </c>
      <c r="AA11" s="25">
        <f t="shared" si="3"/>
        <v>196.68292670361183</v>
      </c>
      <c r="AB11" s="33">
        <f t="shared" si="4"/>
        <v>20160</v>
      </c>
      <c r="AC11" s="25">
        <f t="shared" si="5"/>
        <v>91.276096489424148</v>
      </c>
      <c r="AF11" s="8"/>
    </row>
    <row r="12" spans="1:32" ht="15.75" thickBot="1" x14ac:dyDescent="0.3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 t="s">
        <v>13</v>
      </c>
      <c r="L12" s="60">
        <f>8*3600</f>
        <v>28800</v>
      </c>
      <c r="M12" s="60"/>
      <c r="N12" s="60" t="s">
        <v>42</v>
      </c>
      <c r="O12" s="53" t="s">
        <v>22</v>
      </c>
      <c r="P12" s="54">
        <f>K39/S1*M39^2/(2*9.81)*P10</f>
        <v>4.7493299996196834</v>
      </c>
      <c r="Q12" s="1"/>
      <c r="R12" s="23">
        <f t="shared" si="0"/>
        <v>565827.9069994681</v>
      </c>
      <c r="S12" s="24">
        <f t="shared" si="1"/>
        <v>2.1840837457183505E-2</v>
      </c>
      <c r="T12" s="25">
        <f t="shared" si="2"/>
        <v>1.616651162855623</v>
      </c>
      <c r="U12" s="26">
        <f t="shared" si="6"/>
        <v>0.15554006963474151</v>
      </c>
      <c r="V12" s="26">
        <f t="shared" si="7"/>
        <v>32.493768484063558</v>
      </c>
      <c r="W12" s="8"/>
      <c r="X12" s="24">
        <f t="shared" si="8"/>
        <v>1.616651162855623</v>
      </c>
      <c r="Y12" s="36">
        <v>0.15554006963474151</v>
      </c>
      <c r="Z12" s="25">
        <f t="shared" si="9"/>
        <v>40.769525112509484</v>
      </c>
      <c r="AA12" s="25">
        <f t="shared" si="3"/>
        <v>223.97770027402777</v>
      </c>
      <c r="AB12" s="33">
        <f t="shared" si="4"/>
        <v>18720</v>
      </c>
      <c r="AC12" s="25">
        <f t="shared" si="5"/>
        <v>91.037072140136388</v>
      </c>
      <c r="AF12" s="8"/>
    </row>
    <row r="13" spans="1:32" x14ac:dyDescent="0.25">
      <c r="A13" s="59"/>
      <c r="B13" s="60"/>
      <c r="C13" s="60"/>
      <c r="D13" s="60"/>
      <c r="E13" s="60"/>
      <c r="F13" s="60"/>
      <c r="G13" s="60"/>
      <c r="H13" s="60"/>
      <c r="I13" s="60"/>
      <c r="J13" s="60"/>
      <c r="K13" s="60" t="s">
        <v>12</v>
      </c>
      <c r="L13" s="60">
        <f>((PI()*L6^2/4)*(L3-L4))/L12</f>
        <v>0.20000003414165818</v>
      </c>
      <c r="M13" s="60"/>
      <c r="N13" s="60"/>
      <c r="O13" s="60"/>
      <c r="P13" s="61"/>
      <c r="Q13" s="1"/>
      <c r="R13" s="23">
        <f t="shared" si="0"/>
        <v>634274.83142919559</v>
      </c>
      <c r="S13" s="24">
        <f t="shared" si="1"/>
        <v>2.1802600323791246E-2</v>
      </c>
      <c r="T13" s="25">
        <f t="shared" si="2"/>
        <v>1.8122138040834161</v>
      </c>
      <c r="U13" s="26">
        <f t="shared" si="6"/>
        <v>0.1743554006928007</v>
      </c>
      <c r="V13" s="26">
        <f t="shared" si="7"/>
        <v>33.128105337515244</v>
      </c>
      <c r="W13" s="8"/>
      <c r="X13" s="24">
        <f t="shared" si="8"/>
        <v>1.8122138040834161</v>
      </c>
      <c r="Y13" s="2">
        <v>0.1743554006928007</v>
      </c>
      <c r="Z13" s="26">
        <f t="shared" si="9"/>
        <v>40.518137866714426</v>
      </c>
      <c r="AA13" s="26">
        <f t="shared" si="3"/>
        <v>251.07177699763301</v>
      </c>
      <c r="AB13" s="33">
        <f t="shared" si="4"/>
        <v>17280</v>
      </c>
      <c r="AC13" s="25">
        <f t="shared" si="5"/>
        <v>90.76487706474154</v>
      </c>
      <c r="AF13" s="8"/>
    </row>
    <row r="14" spans="1:32" x14ac:dyDescent="0.25">
      <c r="A14" s="5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55"/>
      <c r="P14" s="55"/>
      <c r="Q14" s="1"/>
      <c r="R14" s="23">
        <f t="shared" si="0"/>
        <v>702214.74164887751</v>
      </c>
      <c r="S14" s="24">
        <f t="shared" si="1"/>
        <v>2.1771880740336601E-2</v>
      </c>
      <c r="T14" s="25">
        <f t="shared" si="2"/>
        <v>2.0063278332825072</v>
      </c>
      <c r="U14" s="26">
        <f t="shared" si="6"/>
        <v>0.19303135894057469</v>
      </c>
      <c r="V14" s="26">
        <f t="shared" si="7"/>
        <v>33.828723026030147</v>
      </c>
      <c r="W14" s="8"/>
      <c r="X14" s="24">
        <f t="shared" si="8"/>
        <v>2.0063278332825072</v>
      </c>
      <c r="Y14" s="2">
        <v>0.19303135894057469</v>
      </c>
      <c r="Z14" s="26">
        <f t="shared" si="9"/>
        <v>40.240255225474662</v>
      </c>
      <c r="AA14" s="26">
        <f t="shared" si="3"/>
        <v>277.96515687442758</v>
      </c>
      <c r="AB14" s="33">
        <f t="shared" si="4"/>
        <v>15840</v>
      </c>
      <c r="AC14" s="25">
        <f t="shared" si="5"/>
        <v>90.459755165615974</v>
      </c>
      <c r="AF14" s="8"/>
    </row>
    <row r="15" spans="1:32" x14ac:dyDescent="0.25">
      <c r="A15" s="59"/>
      <c r="B15" s="60"/>
      <c r="C15" s="60"/>
      <c r="D15" s="60"/>
      <c r="E15" s="60"/>
      <c r="F15" s="55"/>
      <c r="G15" s="55"/>
      <c r="H15" s="55"/>
      <c r="I15" s="60"/>
      <c r="J15" s="60"/>
      <c r="K15" s="60"/>
      <c r="L15" s="60"/>
      <c r="M15" s="60"/>
      <c r="N15" s="60"/>
      <c r="O15" s="86" t="s">
        <v>1</v>
      </c>
      <c r="P15" s="87"/>
      <c r="Q15" s="1"/>
      <c r="R15" s="23">
        <f t="shared" si="0"/>
        <v>769647.63765851373</v>
      </c>
      <c r="S15" s="24">
        <f t="shared" si="1"/>
        <v>2.1746661666847238E-2</v>
      </c>
      <c r="T15" s="25">
        <f t="shared" si="2"/>
        <v>2.1989932504528964</v>
      </c>
      <c r="U15" s="26">
        <f t="shared" si="6"/>
        <v>0.21156794437806345</v>
      </c>
      <c r="V15" s="26">
        <f t="shared" si="7"/>
        <v>34.594038154866894</v>
      </c>
      <c r="W15" s="8"/>
      <c r="X15" s="24">
        <f t="shared" si="8"/>
        <v>2.1989932504528964</v>
      </c>
      <c r="Y15" s="43">
        <v>0.21156794437806345</v>
      </c>
      <c r="Z15" s="43">
        <f t="shared" si="9"/>
        <v>39.93650969854113</v>
      </c>
      <c r="AA15" s="26">
        <f t="shared" si="3"/>
        <v>304.65783990441139</v>
      </c>
      <c r="AB15" s="33">
        <f t="shared" si="4"/>
        <v>14400</v>
      </c>
      <c r="AC15" s="25">
        <f t="shared" si="5"/>
        <v>90.121950345136057</v>
      </c>
      <c r="AF15" s="8"/>
    </row>
    <row r="16" spans="1:32" x14ac:dyDescent="0.25">
      <c r="A16" s="59"/>
      <c r="B16" s="60"/>
      <c r="C16" s="60"/>
      <c r="D16" s="60"/>
      <c r="E16" s="60"/>
      <c r="F16" s="68"/>
      <c r="G16" s="62" t="s">
        <v>24</v>
      </c>
      <c r="H16" s="67">
        <v>1500</v>
      </c>
      <c r="I16" s="60"/>
      <c r="J16" s="60"/>
      <c r="K16" s="60"/>
      <c r="L16" s="60"/>
      <c r="M16" s="60"/>
      <c r="N16" s="60"/>
      <c r="O16" s="72" t="s">
        <v>10</v>
      </c>
      <c r="P16" s="73">
        <v>55</v>
      </c>
      <c r="Q16" s="1"/>
      <c r="R16" s="23">
        <f t="shared" si="0"/>
        <v>836573.51945810416</v>
      </c>
      <c r="S16" s="27">
        <f t="shared" si="1"/>
        <v>2.1725588555300841E-2</v>
      </c>
      <c r="T16" s="26">
        <f t="shared" si="2"/>
        <v>2.3902100555945833</v>
      </c>
      <c r="U16" s="26">
        <f t="shared" si="6"/>
        <v>0.22996515700526701</v>
      </c>
      <c r="V16" s="26">
        <f t="shared" si="7"/>
        <v>35.422479216449773</v>
      </c>
      <c r="W16" s="8"/>
      <c r="X16" s="24">
        <f t="shared" si="8"/>
        <v>2.3902100555945833</v>
      </c>
      <c r="Y16" s="2">
        <v>0.22996515700526701</v>
      </c>
      <c r="Z16" s="26">
        <f t="shared" si="9"/>
        <v>39.607529075443168</v>
      </c>
      <c r="AA16" s="26">
        <f t="shared" si="3"/>
        <v>331.14982608758447</v>
      </c>
      <c r="AB16" s="33">
        <f t="shared" si="4"/>
        <v>12960</v>
      </c>
      <c r="AC16" s="25">
        <f t="shared" si="5"/>
        <v>89.751706505678143</v>
      </c>
      <c r="AF16" s="8"/>
    </row>
    <row r="17" spans="1:32" x14ac:dyDescent="0.25">
      <c r="A17" s="59"/>
      <c r="B17" s="60" t="s">
        <v>19</v>
      </c>
      <c r="C17" s="63">
        <v>80</v>
      </c>
      <c r="D17" s="60"/>
      <c r="E17" s="60"/>
      <c r="F17" s="68"/>
      <c r="G17" s="62" t="s">
        <v>23</v>
      </c>
      <c r="H17" s="67">
        <v>0.1</v>
      </c>
      <c r="I17" s="60"/>
      <c r="J17" s="60"/>
      <c r="K17" s="60"/>
      <c r="L17" s="60"/>
      <c r="M17" s="60"/>
      <c r="N17" s="60"/>
      <c r="O17" s="60"/>
      <c r="P17" s="61"/>
      <c r="Q17" s="1"/>
      <c r="R17" s="23">
        <f t="shared" si="0"/>
        <v>902992.38704764866</v>
      </c>
      <c r="S17" s="24">
        <f t="shared" si="1"/>
        <v>2.1707717959536209E-2</v>
      </c>
      <c r="T17" s="25">
        <f t="shared" si="2"/>
        <v>2.5799782487075675</v>
      </c>
      <c r="U17" s="26">
        <f t="shared" si="6"/>
        <v>0.24822299682218532</v>
      </c>
      <c r="V17" s="26">
        <f t="shared" si="7"/>
        <v>36.312486563310301</v>
      </c>
      <c r="W17" s="8"/>
      <c r="X17" s="24">
        <f t="shared" si="8"/>
        <v>2.5799782487075675</v>
      </c>
      <c r="Y17" s="2">
        <v>0.24822299682218532</v>
      </c>
      <c r="Z17" s="26">
        <f t="shared" si="9"/>
        <v>39.253936425488526</v>
      </c>
      <c r="AA17" s="26">
        <f t="shared" si="3"/>
        <v>357.44111542394688</v>
      </c>
      <c r="AB17" s="33">
        <f t="shared" si="4"/>
        <v>11520</v>
      </c>
      <c r="AC17" s="25">
        <f t="shared" si="5"/>
        <v>89.349267549618588</v>
      </c>
      <c r="AF17" s="8"/>
    </row>
    <row r="18" spans="1:32" x14ac:dyDescent="0.25">
      <c r="A18" s="59"/>
      <c r="B18" s="60" t="s">
        <v>20</v>
      </c>
      <c r="C18" s="63">
        <v>0</v>
      </c>
      <c r="D18" s="60"/>
      <c r="E18" s="60"/>
      <c r="F18" s="68"/>
      <c r="G18" s="67"/>
      <c r="H18" s="78"/>
      <c r="I18" s="60"/>
      <c r="J18" s="60"/>
      <c r="K18" s="60"/>
      <c r="L18" s="60"/>
      <c r="M18" s="60"/>
      <c r="N18" s="60"/>
      <c r="O18" s="60"/>
      <c r="P18" s="61"/>
      <c r="Q18" s="1"/>
      <c r="R18" s="23">
        <f t="shared" si="0"/>
        <v>968904.23765064834</v>
      </c>
      <c r="S18" s="24">
        <f t="shared" si="1"/>
        <v>2.1692372555960286E-2</v>
      </c>
      <c r="T18" s="25">
        <f t="shared" si="2"/>
        <v>2.7682978218589951</v>
      </c>
      <c r="U18" s="26">
        <f t="shared" si="6"/>
        <v>0.26634146306558831</v>
      </c>
      <c r="V18" s="26">
        <f t="shared" si="7"/>
        <v>37.262512350890617</v>
      </c>
      <c r="W18" s="8"/>
      <c r="X18" s="24">
        <f t="shared" si="8"/>
        <v>2.7682978218589951</v>
      </c>
      <c r="Y18" s="2">
        <v>0.26634146306558831</v>
      </c>
      <c r="Z18" s="26">
        <f t="shared" si="9"/>
        <v>38.876350114228998</v>
      </c>
      <c r="AA18" s="26">
        <f t="shared" si="3"/>
        <v>383.53170681444715</v>
      </c>
      <c r="AB18" s="33">
        <f t="shared" si="4"/>
        <v>10080</v>
      </c>
      <c r="AC18" s="25">
        <f t="shared" si="5"/>
        <v>88.914877379333774</v>
      </c>
      <c r="AF18" s="8"/>
    </row>
    <row r="19" spans="1:32" x14ac:dyDescent="0.25">
      <c r="A19" s="59"/>
      <c r="B19" s="60" t="s">
        <v>21</v>
      </c>
      <c r="C19" s="63">
        <v>0</v>
      </c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1"/>
      <c r="R19" s="95">
        <f t="shared" ref="R19:R20" si="10">T19*$S$1/(10^-6)</f>
        <v>1034309.0766217801</v>
      </c>
      <c r="S19" s="94">
        <f t="shared" si="1"/>
        <v>2.1679053479856249E-2</v>
      </c>
      <c r="T19" s="51">
        <f t="shared" ref="T19:T24" si="11">U19/(PI()*$S$1^2/4)</f>
        <v>2.9551687903479431</v>
      </c>
      <c r="U19" s="51">
        <f t="shared" si="6"/>
        <v>0.28432055720741978</v>
      </c>
      <c r="V19" s="51">
        <f t="shared" si="7"/>
        <v>38.271020687663317</v>
      </c>
      <c r="W19" s="97" t="s">
        <v>49</v>
      </c>
      <c r="X19" s="94">
        <f t="shared" si="8"/>
        <v>2.9551687903479431</v>
      </c>
      <c r="Y19" s="52">
        <v>0.28432055720741978</v>
      </c>
      <c r="Z19" s="51">
        <f t="shared" si="9"/>
        <v>38.475383739964805</v>
      </c>
      <c r="AA19" s="51">
        <f t="shared" si="3"/>
        <v>409.4216023786845</v>
      </c>
      <c r="AB19" s="96">
        <f t="shared" si="4"/>
        <v>8640</v>
      </c>
      <c r="AC19" s="51">
        <f t="shared" si="5"/>
        <v>88.448779898535705</v>
      </c>
      <c r="AF19" s="8"/>
    </row>
    <row r="20" spans="1:32" x14ac:dyDescent="0.25">
      <c r="A20" s="59"/>
      <c r="B20" s="60"/>
      <c r="C20" s="63">
        <f>SUM(C17:C19)</f>
        <v>80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1"/>
      <c r="Q20" s="1"/>
      <c r="R20" s="23">
        <f t="shared" si="10"/>
        <v>1099206.9013828661</v>
      </c>
      <c r="S20" s="24">
        <f t="shared" si="1"/>
        <v>2.1667385180348463E-2</v>
      </c>
      <c r="T20" s="25">
        <f t="shared" si="11"/>
        <v>3.1405911468081888</v>
      </c>
      <c r="U20" s="26">
        <f t="shared" si="6"/>
        <v>0.30216027853896604</v>
      </c>
      <c r="V20" s="26">
        <f t="shared" si="7"/>
        <v>39.336487397948559</v>
      </c>
      <c r="W20" s="8"/>
      <c r="X20" s="24">
        <f t="shared" si="8"/>
        <v>3.1405911468081888</v>
      </c>
      <c r="Y20" s="36">
        <v>0.30216027853896604</v>
      </c>
      <c r="Z20" s="25">
        <f t="shared" si="9"/>
        <v>38.051646225586488</v>
      </c>
      <c r="AA20" s="25">
        <f t="shared" si="3"/>
        <v>435.11080109611112</v>
      </c>
      <c r="AB20" s="33">
        <f t="shared" si="4"/>
        <v>7200</v>
      </c>
      <c r="AC20" s="25">
        <f t="shared" si="5"/>
        <v>87.951219008360482</v>
      </c>
      <c r="AF20" s="8"/>
    </row>
    <row r="21" spans="1:32" x14ac:dyDescent="0.25">
      <c r="A21" s="5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1"/>
      <c r="Q21" s="1"/>
      <c r="R21" s="23">
        <f t="shared" ref="R21:R24" si="12">T21*$S$1/(10^-6)</f>
        <v>1163597.7119339067</v>
      </c>
      <c r="S21" s="24">
        <f t="shared" ref="S21:S24" si="13">((-1.8*LOG10((($R$1/3.715)^1.11)+(6.9/R21)))^-1)^2</f>
        <v>2.1657079531213191E-2</v>
      </c>
      <c r="T21" s="25">
        <f t="shared" si="11"/>
        <v>3.3245648912397328</v>
      </c>
      <c r="U21" s="26">
        <f t="shared" si="6"/>
        <v>0.31986062706022705</v>
      </c>
      <c r="V21" s="26">
        <f t="shared" si="7"/>
        <v>40.457400166533745</v>
      </c>
      <c r="W21" s="8"/>
      <c r="X21" s="24">
        <f t="shared" si="8"/>
        <v>3.3245648912397328</v>
      </c>
      <c r="Y21" s="36">
        <v>0.31986062706022705</v>
      </c>
      <c r="Z21" s="25">
        <f t="shared" si="9"/>
        <v>37.605741759513535</v>
      </c>
      <c r="AA21" s="25">
        <f t="shared" si="3"/>
        <v>460.59930296672695</v>
      </c>
      <c r="AB21" s="33">
        <f t="shared" si="4"/>
        <v>5760</v>
      </c>
      <c r="AC21" s="25">
        <f t="shared" si="5"/>
        <v>87.422438611184489</v>
      </c>
      <c r="AF21" s="8"/>
    </row>
    <row r="22" spans="1:32" x14ac:dyDescent="0.2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1"/>
      <c r="Q22" s="1"/>
      <c r="R22" s="23">
        <f t="shared" si="12"/>
        <v>1227481.5082749012</v>
      </c>
      <c r="S22" s="24">
        <f t="shared" si="13"/>
        <v>2.164791178909006E-2</v>
      </c>
      <c r="T22" s="25">
        <f t="shared" si="11"/>
        <v>3.5070900236425748</v>
      </c>
      <c r="U22" s="26">
        <f t="shared" si="6"/>
        <v>0.33742160277120292</v>
      </c>
      <c r="V22" s="26">
        <f t="shared" si="7"/>
        <v>41.632258500121651</v>
      </c>
      <c r="W22" s="8"/>
      <c r="X22" s="24">
        <f t="shared" si="8"/>
        <v>3.5070900236425748</v>
      </c>
      <c r="Y22" s="2">
        <v>0.33742160277120292</v>
      </c>
      <c r="Z22" s="26">
        <f t="shared" si="9"/>
        <v>37.138269809943843</v>
      </c>
      <c r="AA22" s="25">
        <f t="shared" si="3"/>
        <v>485.88710799053223</v>
      </c>
      <c r="AB22" s="33">
        <f t="shared" si="4"/>
        <v>4320</v>
      </c>
      <c r="AC22" s="25">
        <f t="shared" si="5"/>
        <v>86.86268260938408</v>
      </c>
      <c r="AF22" s="8"/>
    </row>
    <row r="23" spans="1:32" ht="15.75" thickBot="1" x14ac:dyDescent="0.3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6"/>
      <c r="Q23" s="1"/>
      <c r="R23" s="23">
        <f t="shared" si="12"/>
        <v>1290858.2904058497</v>
      </c>
      <c r="S23" s="24">
        <f t="shared" si="13"/>
        <v>2.163970407211031E-2</v>
      </c>
      <c r="T23" s="25">
        <f t="shared" si="11"/>
        <v>3.6881665440167137</v>
      </c>
      <c r="U23" s="26">
        <f t="shared" si="6"/>
        <v>0.35484320567189348</v>
      </c>
      <c r="V23" s="26">
        <f t="shared" si="7"/>
        <v>42.859573725470739</v>
      </c>
      <c r="W23" s="8"/>
      <c r="X23" s="24">
        <f t="shared" si="8"/>
        <v>3.6881665440167137</v>
      </c>
      <c r="Y23" s="2">
        <v>0.35484320567189348</v>
      </c>
      <c r="Z23" s="26">
        <f t="shared" si="9"/>
        <v>36.649825124853699</v>
      </c>
      <c r="AA23" s="25">
        <f t="shared" si="3"/>
        <v>510.97421616752661</v>
      </c>
      <c r="AB23" s="33">
        <f t="shared" si="4"/>
        <v>2880</v>
      </c>
      <c r="AC23" s="25">
        <f t="shared" si="5"/>
        <v>86.272194905335624</v>
      </c>
      <c r="AF23" s="8"/>
    </row>
    <row r="24" spans="1:32" x14ac:dyDescent="0.25">
      <c r="C24" s="8"/>
      <c r="R24" s="28">
        <f t="shared" si="12"/>
        <v>1353728.0583267531</v>
      </c>
      <c r="S24" s="29">
        <f t="shared" si="13"/>
        <v>2.1632313750539495E-2</v>
      </c>
      <c r="T24" s="30">
        <f t="shared" si="11"/>
        <v>3.8677944523621517</v>
      </c>
      <c r="U24" s="31">
        <f t="shared" si="6"/>
        <v>0.3721254357622989</v>
      </c>
      <c r="V24" s="31">
        <f t="shared" si="7"/>
        <v>44.137868988082758</v>
      </c>
      <c r="W24" s="8"/>
      <c r="X24" s="29">
        <f t="shared" si="8"/>
        <v>3.8677944523621517</v>
      </c>
      <c r="Y24" s="79">
        <v>0.3721254357622989</v>
      </c>
      <c r="Z24" s="31">
        <f t="shared" si="9"/>
        <v>36.140997731997807</v>
      </c>
      <c r="AA24" s="30">
        <f t="shared" si="3"/>
        <v>535.86062749771042</v>
      </c>
      <c r="AB24" s="34">
        <v>1440</v>
      </c>
      <c r="AC24" s="30">
        <f>AA24/$L$7+L4</f>
        <v>85.651219401415474</v>
      </c>
      <c r="AE24">
        <f>0.3^2*PI()/4</f>
        <v>7.0685834705770348E-2</v>
      </c>
      <c r="AF24" s="8"/>
    </row>
    <row r="25" spans="1:32" x14ac:dyDescent="0.25">
      <c r="U25" s="10"/>
      <c r="Y25" s="11"/>
      <c r="Z25" s="11"/>
      <c r="AA25" s="12">
        <f>SUM(AA5:AA24)</f>
        <v>5759.999999999839</v>
      </c>
      <c r="AB25" s="12"/>
      <c r="AC25" s="11"/>
      <c r="AF25" s="8"/>
    </row>
    <row r="26" spans="1:32" x14ac:dyDescent="0.25">
      <c r="F26" s="80" t="s">
        <v>48</v>
      </c>
      <c r="G26" s="89" t="s">
        <v>40</v>
      </c>
      <c r="H26" s="89"/>
      <c r="I26" s="89"/>
      <c r="J26" s="89"/>
      <c r="K26" s="89"/>
      <c r="L26" s="89"/>
      <c r="M26" s="89"/>
      <c r="N26" s="1"/>
      <c r="AF26" s="8"/>
    </row>
    <row r="27" spans="1:32" x14ac:dyDescent="0.25">
      <c r="F27" s="3"/>
      <c r="G27" s="39" t="s">
        <v>14</v>
      </c>
      <c r="H27" s="39" t="s">
        <v>11</v>
      </c>
      <c r="I27" s="39" t="s">
        <v>15</v>
      </c>
      <c r="J27" s="39" t="s">
        <v>8</v>
      </c>
      <c r="K27" s="39" t="s">
        <v>16</v>
      </c>
      <c r="L27" s="39" t="s">
        <v>9</v>
      </c>
      <c r="M27" s="39" t="s">
        <v>18</v>
      </c>
      <c r="N27" s="1"/>
      <c r="Y27">
        <f>Y24+Y5</f>
        <v>0.39205574935715626</v>
      </c>
      <c r="AA27">
        <f>SUM(AA5:AA25)</f>
        <v>11519.999999999678</v>
      </c>
      <c r="AB27">
        <f>SUM(AB5:AB25)</f>
        <v>302400</v>
      </c>
      <c r="AF27" s="8"/>
    </row>
    <row r="28" spans="1:32" x14ac:dyDescent="0.25">
      <c r="F28" s="3"/>
      <c r="G28" s="40">
        <v>1</v>
      </c>
      <c r="H28" s="40">
        <f>(4*$H$17/(PI()*G28))^0.5</f>
        <v>0.3568248232305542</v>
      </c>
      <c r="I28" s="41">
        <f>0.5/(H28*10^3)</f>
        <v>1.4012478040994823E-3</v>
      </c>
      <c r="J28" s="42">
        <f>G28*H28/(10^-6)</f>
        <v>356824.82323055423</v>
      </c>
      <c r="K28" s="40">
        <f>((-1.8*LOG10(((I28/3.715)^1.11)+(6.9/J28)))^-1)^2</f>
        <v>2.1947596909583256E-2</v>
      </c>
      <c r="L28" s="40">
        <f>K28/H28*G28^2/(2*9.81)*$H$16</f>
        <v>4.7024498432437492</v>
      </c>
      <c r="M28" s="40">
        <f>(($L$4-$B$7)/(K28/H28/2/9.81*1500))^0.5</f>
        <v>1.0311525406221493</v>
      </c>
      <c r="N28" s="1"/>
      <c r="AF28" s="8"/>
    </row>
    <row r="29" spans="1:32" x14ac:dyDescent="0.25">
      <c r="F29" s="3"/>
      <c r="G29" s="2">
        <f>M28</f>
        <v>1.0311525406221493</v>
      </c>
      <c r="H29" s="2">
        <f>(4*$H$17/(PI()*G29))^0.5</f>
        <v>0.35139340087491439</v>
      </c>
      <c r="I29" s="37">
        <f>0.5/(H29*10^3)</f>
        <v>1.4229066304463273E-3</v>
      </c>
      <c r="J29" s="5">
        <f>G29*H29/(10^-6)</f>
        <v>362340.19807002542</v>
      </c>
      <c r="K29" s="2">
        <f>((-1.8*LOG10(((I29/3.715)^1.11)+(6.9/J29)))^-1)^2</f>
        <v>2.2016675315990362E-2</v>
      </c>
      <c r="L29" s="2">
        <f>K29/H29*G29^2/(2*9.81)*$H$16</f>
        <v>5.0932644376014196</v>
      </c>
      <c r="M29" s="2">
        <f>(($L$4-$B$7)/(K29/H29/2/9.81*1500))^0.5</f>
        <v>1.0216680351588892</v>
      </c>
      <c r="N29" s="1"/>
      <c r="AF29" s="8"/>
    </row>
    <row r="30" spans="1:32" x14ac:dyDescent="0.25">
      <c r="F30" s="3"/>
      <c r="G30" s="44"/>
      <c r="H30" s="45"/>
      <c r="I30" s="46" t="s">
        <v>17</v>
      </c>
      <c r="J30" s="47"/>
      <c r="K30" s="45"/>
      <c r="L30" s="45"/>
      <c r="M30" s="45"/>
      <c r="N30" s="1"/>
      <c r="AF30" s="8"/>
    </row>
    <row r="31" spans="1:32" x14ac:dyDescent="0.25">
      <c r="F31" s="3"/>
      <c r="G31" s="48">
        <f>0.125/H31^2</f>
        <v>1.0204081632653064</v>
      </c>
      <c r="H31" s="48">
        <v>0.35</v>
      </c>
      <c r="I31" s="49">
        <f>0.5/(H31*10^3)</f>
        <v>1.4285714285714286E-3</v>
      </c>
      <c r="J31" s="50">
        <f>G31*H31/(10^-6)</f>
        <v>357142.85714285722</v>
      </c>
      <c r="K31" s="48">
        <f>((-1.8*LOG10(((I31/3.715)^1.11)+(6.9/J31)))^-1)^2</f>
        <v>2.204466857981496E-2</v>
      </c>
      <c r="L31" s="48">
        <f>K31/H31*G31^2/(2*9.81)*$H$16</f>
        <v>5.0138996120134003</v>
      </c>
      <c r="M31" s="48">
        <f>(($L$4-$B$7)/(K31/H31/2/9.81*1500))^0.5</f>
        <v>1.0189927858057919</v>
      </c>
      <c r="N31" s="1"/>
      <c r="AF31" s="8"/>
    </row>
    <row r="32" spans="1:32" x14ac:dyDescent="0.25">
      <c r="F32" s="3"/>
      <c r="N32" s="1"/>
      <c r="AF32" s="8"/>
    </row>
    <row r="33" spans="7:32" x14ac:dyDescent="0.25">
      <c r="AF33" s="8"/>
    </row>
    <row r="34" spans="7:32" x14ac:dyDescent="0.25">
      <c r="G34" s="83" t="s">
        <v>39</v>
      </c>
      <c r="H34" s="83"/>
      <c r="I34" s="83"/>
      <c r="J34" s="83"/>
      <c r="K34" s="83"/>
      <c r="L34" s="83"/>
      <c r="M34" s="83"/>
      <c r="AF34" s="8"/>
    </row>
    <row r="35" spans="7:32" x14ac:dyDescent="0.25">
      <c r="G35" s="39" t="s">
        <v>14</v>
      </c>
      <c r="H35" s="39" t="s">
        <v>11</v>
      </c>
      <c r="I35" s="39" t="s">
        <v>15</v>
      </c>
      <c r="J35" s="39" t="s">
        <v>8</v>
      </c>
      <c r="K35" s="39" t="s">
        <v>16</v>
      </c>
      <c r="L35" s="39" t="s">
        <v>9</v>
      </c>
      <c r="M35" s="39" t="s">
        <v>18</v>
      </c>
      <c r="AF35" s="8"/>
    </row>
    <row r="36" spans="7:32" x14ac:dyDescent="0.25">
      <c r="G36" s="2">
        <v>3</v>
      </c>
      <c r="H36" s="2">
        <f>(4*$P$9/(PI()*G36))^0.5</f>
        <v>0.29134624815788779</v>
      </c>
      <c r="I36" s="37">
        <f>0.5/(H36*10^3)</f>
        <v>1.7161710616195667E-3</v>
      </c>
      <c r="J36" s="5">
        <f>G36*H36/(10^-6)</f>
        <v>874038.74447366339</v>
      </c>
      <c r="K36" s="43">
        <f>((-1.8*LOG10(((I36/3.715)^1.11)+(6.9/J36)))^-1)^2</f>
        <v>2.2724633202885695E-2</v>
      </c>
      <c r="L36" s="2">
        <f>K36/H36*G36^2/(2*9.81)*$P$10</f>
        <v>10.733768226250898</v>
      </c>
      <c r="M36" s="2">
        <f>(($L$4-$B$7)/(K36/H36/2/9.81*$P$10))^0.5</f>
        <v>2.0475294179184389</v>
      </c>
      <c r="AF36" s="8"/>
    </row>
    <row r="37" spans="7:32" x14ac:dyDescent="0.25">
      <c r="G37" s="2">
        <f>M36</f>
        <v>2.0475294179184389</v>
      </c>
      <c r="H37" s="2">
        <f>(4*$P$9/(PI()*G37))^0.5</f>
        <v>0.35265900840496694</v>
      </c>
      <c r="I37" s="37">
        <f>0.5/(H37*10^3)</f>
        <v>1.4178001641342954E-3</v>
      </c>
      <c r="J37" s="5">
        <f>G37*H37/(10^-6)</f>
        <v>722079.69420311588</v>
      </c>
      <c r="K37" s="2">
        <f>((-1.8*LOG10(((I37/3.715)^1.11)+(6.9/J37)))^-1)^2</f>
        <v>2.1724213072193972E-2</v>
      </c>
      <c r="L37" s="2">
        <f>K37/H37*G37^2/(2*9.81)*$P$10</f>
        <v>3.9488589719012128</v>
      </c>
      <c r="M37" s="2">
        <f>(($L$4-$B$7)/(K37/H37/2/9.81*$P$10))^0.5</f>
        <v>2.3039833723137182</v>
      </c>
    </row>
    <row r="38" spans="7:32" x14ac:dyDescent="0.25">
      <c r="G38" s="38"/>
      <c r="H38" s="6"/>
      <c r="I38" s="9" t="s">
        <v>17</v>
      </c>
      <c r="J38" s="7"/>
      <c r="K38" s="6"/>
      <c r="L38" s="6"/>
      <c r="M38" s="6"/>
    </row>
    <row r="39" spans="7:32" x14ac:dyDescent="0.25">
      <c r="G39" s="48">
        <f>M37</f>
        <v>2.3039833723137182</v>
      </c>
      <c r="H39" s="48">
        <f>(4*$P$9/(PI()*G39))^0.5</f>
        <v>0.3324530999733778</v>
      </c>
      <c r="I39" s="49">
        <f>0.5/(H39*10^3)</f>
        <v>1.5039715377598796E-3</v>
      </c>
      <c r="J39" s="50">
        <f>G39*S1/(10^-6)</f>
        <v>806394.18030980136</v>
      </c>
      <c r="K39" s="48">
        <f>((-1.8*LOG10(((R1/3.715)^1.11)+(6.9/J39)))^-1)^2</f>
        <v>2.1734665279339545E-2</v>
      </c>
      <c r="L39" s="48">
        <f>K39/S1*G39^2/(2*9.81)*$P$10</f>
        <v>5.0404097689480958</v>
      </c>
      <c r="M39" s="48">
        <f>(($L$4-$B$7)/(K39/H39/2/9.81*$P$10))^0.5</f>
        <v>2.2364675008977981</v>
      </c>
    </row>
    <row r="46" spans="7:32" x14ac:dyDescent="0.25">
      <c r="G46" s="4"/>
      <c r="H46" s="4"/>
      <c r="I46" s="4"/>
      <c r="J46" s="4"/>
      <c r="K46" s="4"/>
      <c r="L46" s="4"/>
      <c r="M46" s="4"/>
    </row>
  </sheetData>
  <mergeCells count="7">
    <mergeCell ref="G26:M26"/>
    <mergeCell ref="X2:AC2"/>
    <mergeCell ref="A1:C1"/>
    <mergeCell ref="G34:M34"/>
    <mergeCell ref="K2:L2"/>
    <mergeCell ref="O15:P15"/>
    <mergeCell ref="R2:V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2014-04-25T10:15:56Z</dcterms:modified>
</cp:coreProperties>
</file>